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FOLHA_ROSTO" sheetId="1" state="visible" r:id="rId2"/>
    <sheet name="ORCAMENTO" sheetId="2" state="visible" r:id="rId3"/>
    <sheet name="CRONOGRAMA" sheetId="3" state="visible" r:id="rId4"/>
    <sheet name="BDI_OBRA" sheetId="4" state="visible" r:id="rId5"/>
    <sheet name="BDI_EQUIP" sheetId="5" state="visible" r:id="rId6"/>
    <sheet name="RELATORIO_COMP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<sst xmlns="http://schemas.openxmlformats.org/spreadsheetml/2006/main" count="2383" uniqueCount="614">
  <si>
    <t xml:space="preserve">COMPLEMENTAÇÃO DOS ESTACIONAMENTOS ACESSÍVEIS</t>
  </si>
  <si>
    <t xml:space="preserve">UNIVERSIDADE FEDERAL DA FRONTEIRA SUL</t>
  </si>
  <si>
    <t xml:space="preserve">DADOS DA OBRA:</t>
  </si>
  <si>
    <t xml:space="preserve">CAMPUS LARANJEIRAS DO SUL</t>
  </si>
  <si>
    <t xml:space="preserve">ENDEREÇO:</t>
  </si>
  <si>
    <t xml:space="preserve">Rodovia BR 158 - Km 405</t>
  </si>
  <si>
    <t xml:space="preserve">ÁREA (M²):</t>
  </si>
  <si>
    <t xml:space="preserve">SECRETARIA ESPECIAL DE OBRAS</t>
  </si>
  <si>
    <t xml:space="preserve">R$/m²</t>
  </si>
  <si>
    <t xml:space="preserve">VALOR TOTAL:</t>
  </si>
  <si>
    <t xml:space="preserve">LARANJEIRAS DO SUL – PR</t>
  </si>
  <si>
    <t xml:space="preserve">ORÇAMENTO ANALÍTICO</t>
  </si>
  <si>
    <t xml:space="preserve">DATA:</t>
  </si>
  <si>
    <t xml:space="preserve">APROVADO POR:</t>
  </si>
  <si>
    <t xml:space="preserve">RESPONSÁVEL(IS) TÈCNICO(S):</t>
  </si>
  <si>
    <t xml:space="preserve">_____________________</t>
  </si>
  <si>
    <t xml:space="preserve">Wellington Tischer</t>
  </si>
  <si>
    <t xml:space="preserve">FÁBIO CORRÊA GASPARETTO</t>
  </si>
  <si>
    <t xml:space="preserve">CAU/SC</t>
  </si>
  <si>
    <t xml:space="preserve">CPF: 006.916.069-43</t>
  </si>
  <si>
    <t xml:space="preserve">CABO DE COBRE</t>
  </si>
  <si>
    <t xml:space="preserve">NÚMERO TOTAL DE LINHAS:</t>
  </si>
  <si>
    <t xml:space="preserve">BASES DE DADOS UTILIZADAS:</t>
  </si>
  <si>
    <t xml:space="preserve">TOTAL GERAL:</t>
  </si>
  <si>
    <t xml:space="preserve">REFERÊNCIA SINAPI: 07/2023 PR (Sem Desoneração)</t>
  </si>
  <si>
    <t xml:space="preserve">DESCONTO EMPRESA:</t>
  </si>
  <si>
    <t xml:space="preserve">REFERÊNCIA ORSE: 04/2023 PR (Sem Desoneração)</t>
  </si>
  <si>
    <t xml:space="preserve">BDI DA OBRA:</t>
  </si>
  <si>
    <t xml:space="preserve">OrcamentoUFFS 3.08.release.20220627</t>
  </si>
  <si>
    <t xml:space="preserve">Última atualização em 23/08/2023 às 15:50:53</t>
  </si>
  <si>
    <t xml:space="preserve">BDI DE EQUIP.:</t>
  </si>
  <si>
    <t xml:space="preserve">ITEM</t>
  </si>
  <si>
    <t xml:space="preserve">FONTE</t>
  </si>
  <si>
    <t xml:space="preserve">CÓDIGO</t>
  </si>
  <si>
    <t xml:space="preserve">DESCRIÇÃO DO SERVIÇO</t>
  </si>
  <si>
    <t xml:space="preserve">UNID.</t>
  </si>
  <si>
    <t xml:space="preserve">QUANT.</t>
  </si>
  <si>
    <t xml:space="preserve">PREÇO UN.
MATERIAL</t>
  </si>
  <si>
    <t xml:space="preserve">PREÇO UN.
M. D. O.</t>
  </si>
  <si>
    <t xml:space="preserve">PREÇO UN.
EQUIPAM.</t>
  </si>
  <si>
    <t xml:space="preserve">PREÇO
TERCEIROS</t>
  </si>
  <si>
    <t xml:space="preserve">PREÇO
OUTROS</t>
  </si>
  <si>
    <t xml:space="preserve">PREÇO UN.</t>
  </si>
  <si>
    <t xml:space="preserve">PREÇO
TOTAL</t>
  </si>
  <si>
    <t xml:space="preserve">BDI</t>
  </si>
  <si>
    <t xml:space="preserve">PREÇO TOTAL
COM BDI</t>
  </si>
  <si>
    <t xml:space="preserve">% ITEM</t>
  </si>
  <si>
    <t xml:space="preserve">1</t>
  </si>
  <si>
    <t xml:space="preserve">PROJETOS E TAXAS</t>
  </si>
  <si>
    <t xml:space="preserve">SUBTOTAL</t>
  </si>
  <si>
    <t xml:space="preserve">1.1</t>
  </si>
  <si>
    <t xml:space="preserve">C. PRÓPRIA</t>
  </si>
  <si>
    <t xml:space="preserve">SP-C.1178</t>
  </si>
  <si>
    <t xml:space="preserve">ART DE EXECUÇÃO POR ESPECIFICIDADE</t>
  </si>
  <si>
    <t xml:space="preserve">UN</t>
  </si>
  <si>
    <t xml:space="preserve">2</t>
  </si>
  <si>
    <t xml:space="preserve">SERVIÇOS PRELIMINARES / TÉCNICOS</t>
  </si>
  <si>
    <t xml:space="preserve">2.1</t>
  </si>
  <si>
    <t xml:space="preserve">SERVIÇOS INICIAIS</t>
  </si>
  <si>
    <t xml:space="preserve">2.1.1</t>
  </si>
  <si>
    <t xml:space="preserve">SP-C.2631</t>
  </si>
  <si>
    <t xml:space="preserve">PLACA DE OBRA EM CHAPA DE ACO GALVANIZADO</t>
  </si>
  <si>
    <t xml:space="preserve">M2</t>
  </si>
  <si>
    <t xml:space="preserve">2.1.2</t>
  </si>
  <si>
    <t xml:space="preserve">SP-C.1815</t>
  </si>
  <si>
    <t xml:space="preserve">ISOLAMENTO DE OBRA COM TELA TAPUME PLASTICA, COR LARANJA, H=1,20 M. REF. 85423</t>
  </si>
  <si>
    <t xml:space="preserve">2.2</t>
  </si>
  <si>
    <t xml:space="preserve">ADMINISTRAÇÃO LOCAL</t>
  </si>
  <si>
    <t xml:space="preserve">2.2.1</t>
  </si>
  <si>
    <t xml:space="preserve">C. SINAPI</t>
  </si>
  <si>
    <t xml:space="preserve">ENGENHEIRO CIVIL DE OBRA JUNIOR COM ENCARGOS COMPLEMENTARES</t>
  </si>
  <si>
    <t xml:space="preserve">H</t>
  </si>
  <si>
    <t xml:space="preserve">2.2.2</t>
  </si>
  <si>
    <t xml:space="preserve">ENCARREGADO GERAL COM ENCARGOS COMPLEMENTARES</t>
  </si>
  <si>
    <t xml:space="preserve">2.2.3</t>
  </si>
  <si>
    <t xml:space="preserve">TOPOGRAFO COM ENCARGOS COMPLEMENTARES</t>
  </si>
  <si>
    <t xml:space="preserve">2.2.4</t>
  </si>
  <si>
    <t xml:space="preserve">AUXILIAR DE TOPÓGRAFO COM ENCARGOS COMPLEMENTARES</t>
  </si>
  <si>
    <t xml:space="preserve">ESTACIONAMENTO BLOCO DE PROFESSORES</t>
  </si>
  <si>
    <t xml:space="preserve">3</t>
  </si>
  <si>
    <t xml:space="preserve">MOVIMENTO DE TERRA – BLOCO DE PROFESSORES</t>
  </si>
  <si>
    <t xml:space="preserve">3.1</t>
  </si>
  <si>
    <t xml:space="preserve">TERRAPLENAGEM</t>
  </si>
  <si>
    <t xml:space="preserve">3.1.1</t>
  </si>
  <si>
    <t xml:space="preserve">ESCAVAÇÃO HORIZONTAL EM SOLO DE 1A CATEGORIA COM TRATOR DE ESTEIRAS (170HP/LÂMINA: 5,20M3). AF_07/2020</t>
  </si>
  <si>
    <t xml:space="preserve">M3</t>
  </si>
  <si>
    <t xml:space="preserve">3.1.2</t>
  </si>
  <si>
    <t xml:space="preserve">ESCAVAÇÃO VERTICAL PARA INFRAESTRUTURA, COM CARGA, DESCARGA E TRANSPORTE DE SOLO DE 1ª CATEGORIA, COM ESCAVADEIRA HIDRÁULICA (CAÇAMBA: 0,8 M³ / 111 HP), FROTA DE 3 CAMINHÕES BASCULANTES DE 14 M³, DMT ATÉ 1 KM E VELOCIDADE MÉDIA14 KM/H. AF_05/2020</t>
  </si>
  <si>
    <t xml:space="preserve">3.1.3</t>
  </si>
  <si>
    <t xml:space="preserve">EXECUÇÃO E COMPACTAÇÃO DE ATERRO COM SOLO PREDOMINANTEMENTE ARGILOSO - EXCLUSIVE SOLO, ESCAVAÇÃO, CARGA E TRANSPORTE. AF_11/2019</t>
  </si>
  <si>
    <t xml:space="preserve">3.1.4</t>
  </si>
  <si>
    <t xml:space="preserve">ESPALHAMENTO DE MATERIAL COM TRATOR DE ESTEIRAS. AF_11/2019</t>
  </si>
  <si>
    <t xml:space="preserve">4</t>
  </si>
  <si>
    <t xml:space="preserve">PAVIMENTAÇÃO – BLOCO DE PROFESSORES</t>
  </si>
  <si>
    <t xml:space="preserve">4.1</t>
  </si>
  <si>
    <t xml:space="preserve">DRENAGEM</t>
  </si>
  <si>
    <t xml:space="preserve">4.1.1</t>
  </si>
  <si>
    <t xml:space="preserve">ESCAVAÇÃO MECANIZADA DE VALA COM PROFUNDIDADE ATÉ 1,5 M (MÉDIA MONTANTE E JUSANTE/UMA COMPOSIÇÃO POR TRECHO), RETROESCAV. (0,26 M3), LARGURA MENOR QUE 0,8 M, EM SOLO DE 1A CATEGORIA, LOCAIS COM BAIXO NÍVEL DE INTERFERÊNCIA. AF_02/2021</t>
  </si>
  <si>
    <t xml:space="preserve">4.1.2</t>
  </si>
  <si>
    <t xml:space="preserve">REATERRO MECANIZADO DE VALA COM RETROESCAVADEIRA (CAPACIDADE DA CAÇAMBA DA RETRO: 0,26 M³ / POTÊNCIA: 88 HP), LARGURA ATÉ 0,8 M, PROFUNDIDADE ATÉ 1,5 M, COM SOLO DE 1ª CATEGORIA EM LOCAIS COM BAIXO NÍVEL DE INTERFERÊNCIA. AF_04/2016</t>
  </si>
  <si>
    <t xml:space="preserve">4.1.3</t>
  </si>
  <si>
    <t xml:space="preserve">IH-C.1300</t>
  </si>
  <si>
    <t xml:space="preserve">BOCA DE LOBO SIMPLES GRELHA CONCRETO. REF: SICRO 2 - 2 S 04 960 51 - BLS 02</t>
  </si>
  <si>
    <t xml:space="preserve">4.1.4</t>
  </si>
  <si>
    <t xml:space="preserve">IH-C.2652</t>
  </si>
  <si>
    <t xml:space="preserve">GRELHA METÁLICA LARGURA 35CM COM QUADRO CHUMBADO EM CANTONEIRA ABAS IGUAIS 1/8 X 1.1/4" E PARTE SUPERIOR MÓVEL EM BARRA CHATA 1/8" X 1", ESPAÇAMENTO 6CM, INCLUSO UMA DEMÃO DE FUNDO ANTICORROSIVO E PINTURA EPÓXI DUAS DEMÃOS. FORNECIMENTO E INSTALAÇÃO.</t>
  </si>
  <si>
    <t xml:space="preserve">M</t>
  </si>
  <si>
    <t xml:space="preserve">4.2</t>
  </si>
  <si>
    <t xml:space="preserve">ESTACIONAMENTO </t>
  </si>
  <si>
    <t xml:space="preserve">4.2.1</t>
  </si>
  <si>
    <t xml:space="preserve">REGULARIZAÇÃO E COMPACTAÇÃO DE SUBLEITO DE SOLO  PREDOMINANTEMENTE ARGILOSO. AF_11/2019</t>
  </si>
  <si>
    <t xml:space="preserve">4.2.2</t>
  </si>
  <si>
    <t xml:space="preserve">EXECUÇÃO E COMPACTAÇÃO DE BASE E OU SUB BASE PARA PAVIMENTAÇÃO DE MACADAME SECO - EXCLUSIVE CARGA E TRANSPORTE. AF_11/2019</t>
  </si>
  <si>
    <t xml:space="preserve">4.2.3</t>
  </si>
  <si>
    <t xml:space="preserve">EXECUÇÃO E COMPACTAÇÃO DE BASE E OU SUB BASE PARA PAVIMENTAÇÃO DE BRITA GRADUADA SIMPLES - EXCLUSIVE CARGA E TRANSPORTE. AF_11/2019</t>
  </si>
  <si>
    <t xml:space="preserve">4.2.4</t>
  </si>
  <si>
    <t xml:space="preserve">ASSENTAMENTO DE GUIA (MEIO-FIO) EM TRECHO RETO, CONFECCIONADA EM CONCRETO PRÉ-FABRICADO, DIMENSÕES 100X15X13X30 CM (COMPRIMENTO X BASE INFERIOR X BASE SUPERIOR X ALTURA), PARA VIAS URBANAS (USO VIÁRIO). AF_06/2016</t>
  </si>
  <si>
    <t xml:space="preserve">4.2.5</t>
  </si>
  <si>
    <t xml:space="preserve">PV-C.3447</t>
  </si>
  <si>
    <t xml:space="preserve">EXECUÇÃO DE PAVIMENTO EM PISO INTERTRAVADO, COM BLOCO RETANGULAR COR NATURAL DE 20 X 10 CM, ESPESSURA 8 CM. REF SINAPI 92398</t>
  </si>
  <si>
    <t xml:space="preserve">4.2.6</t>
  </si>
  <si>
    <t xml:space="preserve">FABRICAÇÃO, MONTAGEM E DESMONTAGEM DE FORMA PARA RADIER, PISO DE CONCRETO OU LAJE SOBRE SOLO, EM MADEIRA SERRADA, 4 UTILIZAÇÕES. AF_09/2021</t>
  </si>
  <si>
    <t xml:space="preserve">4.2.7</t>
  </si>
  <si>
    <t xml:space="preserve">PV-C.2614</t>
  </si>
  <si>
    <t xml:space="preserve">FORNECIMENTO/INSTALACAO LONA PLASTICA PRETA, PARA IMPERMEABILIZACAO, ESPESSURA 150 MICRAS</t>
  </si>
  <si>
    <t xml:space="preserve">4.2.8</t>
  </si>
  <si>
    <t xml:space="preserve">ARMAÇÃO PARA EXECUÇÃO DE RADIER, PISO DE CONCRETO OU LAJE SOBRE SOLO, COM USO DE TELA Q-138. AF_09/2021</t>
  </si>
  <si>
    <t xml:space="preserve">KG</t>
  </si>
  <si>
    <t xml:space="preserve">4.2.9</t>
  </si>
  <si>
    <t xml:space="preserve">ET-C.2642</t>
  </si>
  <si>
    <t xml:space="preserve">PISO EM CONCRETO 25 MPA USINADO, ESPESSURA 10 CM, COM JUNTA DE CONSTRUÇÃO, INCLUSO POLIMENTO MECÂNICO. REF. 84212</t>
  </si>
  <si>
    <t xml:space="preserve">4.2.10</t>
  </si>
  <si>
    <t xml:space="preserve">REASSENTAMENTO DE BLOCOS RETANGULAR PARA PISO INTERTRAVADO, ESPESSURA DE 6 CM, EM CALÇADA, COM REAPROVEITAMENTO DOS BLOCOS RETANGULAR - INCLUSO RETIRADA E COLOCAÇÃO DO MATERIAL. AF_12/2020</t>
  </si>
  <si>
    <t xml:space="preserve">4.2.11</t>
  </si>
  <si>
    <t xml:space="preserve">EXECUÇÃO DE JUNTAS DE CONTRAÇÃO PARA PAVIMENTOS DE CONCRETO. AF_04/2022</t>
  </si>
  <si>
    <t xml:space="preserve">4.2.12</t>
  </si>
  <si>
    <t xml:space="preserve">PV-C.2421</t>
  </si>
  <si>
    <t xml:space="preserve">PISO TÁTIL ALERTA EM PVC 25X25 CM, E = 5 MM, FIXADO COM COLA.</t>
  </si>
  <si>
    <t xml:space="preserve">4.2.13</t>
  </si>
  <si>
    <t xml:space="preserve">PV-C.2422</t>
  </si>
  <si>
    <t xml:space="preserve">PISO TÁTIL DIRECIONAL EM PVC 25X25 CM, E = 5 MM, FIXADO COM COLA.</t>
  </si>
  <si>
    <t xml:space="preserve">4.3</t>
  </si>
  <si>
    <t xml:space="preserve">PAISAGISMO</t>
  </si>
  <si>
    <t xml:space="preserve">4.3.1</t>
  </si>
  <si>
    <t xml:space="preserve">PLANTIO DE GRAMA BATATAIS EM PLACAS. AF_05/2018</t>
  </si>
  <si>
    <t xml:space="preserve">4.4</t>
  </si>
  <si>
    <t xml:space="preserve">SINALIZAÇÃO VIÁRIA</t>
  </si>
  <si>
    <t xml:space="preserve">4.4.1</t>
  </si>
  <si>
    <t xml:space="preserve">ESCAVAÇÃO MANUAL DE VALA COM PROFUNDIDADE MENOR OU IGUAL A 1,30 M. AF_02/2021</t>
  </si>
  <si>
    <t xml:space="preserve">4.4.2</t>
  </si>
  <si>
    <t xml:space="preserve">CONCRETO FCK = 20MPA, TRAÇO 1:2,7:3 (EM MASSA SECA DE CIMENTO/ AREIA MÉDIA/ BRITA 1) - PREPARO MECÂNICO COM BETONEIRA 600 L. AF_05/2021</t>
  </si>
  <si>
    <t xml:space="preserve">4.4.3</t>
  </si>
  <si>
    <t xml:space="preserve">LANÇAMENTO COM USO DE BALDES, ADENSAMENTO E ACABAMENTO DE CONCRETO EM ESTRUTURAS. AF_02/2022</t>
  </si>
  <si>
    <t xml:space="preserve">4.4.4</t>
  </si>
  <si>
    <t xml:space="preserve">IE-C.1273</t>
  </si>
  <si>
    <t xml:space="preserve">POSTE DE ACO GALVANIZADO, CLASSE LEVE, DN 50 MM, E=3,00 MM, H=3,50 M</t>
  </si>
  <si>
    <t xml:space="preserve">4.4.5</t>
  </si>
  <si>
    <t xml:space="preserve">DI-C.1217</t>
  </si>
  <si>
    <t xml:space="preserve">IMPLANTAÇÃO E FIXAÇÃO DE PLACAS SINALIZAÇÃO</t>
  </si>
  <si>
    <t xml:space="preserve">4.4.6</t>
  </si>
  <si>
    <t xml:space="preserve">DI-C.1218</t>
  </si>
  <si>
    <t xml:space="preserve">PLACA DE SINALIZAÇÃO EM CHAPA DE AÇO NUM 16 COM PINTURA REFLETIVA</t>
  </si>
  <si>
    <t xml:space="preserve">4.4.7</t>
  </si>
  <si>
    <t xml:space="preserve">PI-C.2950</t>
  </si>
  <si>
    <t xml:space="preserve">PINTURA ACRILICA PARA SINALIZAÇÃO HORIZONTAL EM PISO CIMENTADO. REF. SINAPI 84665 02/2021</t>
  </si>
  <si>
    <t xml:space="preserve">ESTACIONAMENTO LABORATÓRIOS DIDÁTICOS</t>
  </si>
  <si>
    <t xml:space="preserve">5</t>
  </si>
  <si>
    <t xml:space="preserve">MOVIMENTO DE TERRA – LABORATÓRIOS</t>
  </si>
  <si>
    <t xml:space="preserve">5.1</t>
  </si>
  <si>
    <t xml:space="preserve">5.1.1</t>
  </si>
  <si>
    <t xml:space="preserve">LIMPEZA MECANIZADA DE CAMADA VEGETAL, VEGETAÇÃO E PEQUENAS ÁRVORES (DIÂMETRO DE TRONCO MENOR QUE 0,20 M), COM TRATOR DE ESTEIRAS.AF_05/2018</t>
  </si>
  <si>
    <t xml:space="preserve">5.1.2</t>
  </si>
  <si>
    <t xml:space="preserve">5.1.3</t>
  </si>
  <si>
    <t xml:space="preserve">6</t>
  </si>
  <si>
    <t xml:space="preserve">PAVIMENTAÇÃO – LABORATÓRIOS</t>
  </si>
  <si>
    <t xml:space="preserve">6.1</t>
  </si>
  <si>
    <t xml:space="preserve">6.1.1</t>
  </si>
  <si>
    <t xml:space="preserve">DEMOLIÇÃO DE PAVIMENTO INTERTRAVADO, DE FORMA MANUAL, COM REAPROVEITAMENTO. AF_12/2017</t>
  </si>
  <si>
    <t xml:space="preserve">6.1.2</t>
  </si>
  <si>
    <t xml:space="preserve">6.1.3</t>
  </si>
  <si>
    <t xml:space="preserve">6.1.4</t>
  </si>
  <si>
    <t xml:space="preserve">6.1.5</t>
  </si>
  <si>
    <t xml:space="preserve">6.1.6</t>
  </si>
  <si>
    <t xml:space="preserve">6.1.7</t>
  </si>
  <si>
    <t xml:space="preserve">6.1.8</t>
  </si>
  <si>
    <t xml:space="preserve">6.1.9</t>
  </si>
  <si>
    <t xml:space="preserve">6.1.10</t>
  </si>
  <si>
    <t xml:space="preserve">6.1.11</t>
  </si>
  <si>
    <t xml:space="preserve">6.1.12</t>
  </si>
  <si>
    <t xml:space="preserve">CANALETA MEIA CANA PRÉ-MOLDADA DE CONCRETO (D = 30 CM) - FORNECIMENTO E INSTALAÇÃO. AF_08/2021</t>
  </si>
  <si>
    <t xml:space="preserve">6.1.13</t>
  </si>
  <si>
    <t xml:space="preserve">PV-C.1148</t>
  </si>
  <si>
    <t xml:space="preserve">EXECUÇÃO DE PASSEIO EM PISO INTERTRAVADO, COM BLOCO RETANGULAR  DE 20x20CM, COR AMARELA, ESPESSURA 6CM, 35MPA, TÁTIL DIRECIONAL</t>
  </si>
  <si>
    <t xml:space="preserve">6.1.14</t>
  </si>
  <si>
    <t xml:space="preserve">PV-C.1149</t>
  </si>
  <si>
    <t xml:space="preserve">EXECUÇÃO DE PASSEIO EM PISO INTERTRAVADO, COM BLOCO RETANGULAR  DE 20x20CM, COR AMARELA, ESPESSURA 6CM, 35MPA, TÁTIL ALERTA</t>
  </si>
  <si>
    <t xml:space="preserve">6.1.15</t>
  </si>
  <si>
    <t xml:space="preserve">6.1.16</t>
  </si>
  <si>
    <t xml:space="preserve">6.2</t>
  </si>
  <si>
    <t xml:space="preserve">6.2.1</t>
  </si>
  <si>
    <t xml:space="preserve">6.3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</si>
  <si>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</si>
  <si>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</si>
  <si>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</si>
  <si>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</si>
  <si>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</si>
  <si>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6.3.6</t>
  </si>
  <si>
    <t xml:space="preserve">6.3.7</t>
  </si>
  <si>
    <t xml:space="preserve">ESTACIONAMENTO RESTAURANTE UNIVERSITÁRIO</t>
  </si>
  <si>
    <t xml:space="preserve">7</t>
  </si>
  <si>
    <t xml:space="preserve">MOVIMENTO DE TERRA – RU</t>
  </si>
  <si>
    <t xml:space="preserve">7.1</t>
  </si>
  <si>
    <t xml:space="preserve">7.1.1</t>
  </si>
  <si>
    <t xml:space="preserve">7.1.2</t>
  </si>
  <si>
    <t xml:space="preserve">8</t>
  </si>
  <si>
    <t xml:space="preserve">PAVIMENTAÇÃO – RU</t>
  </si>
  <si>
    <t xml:space="preserve">8.1</t>
  </si>
  <si>
    <t xml:space="preserve">8.1.1</t>
  </si>
  <si>
    <t xml:space="preserve">8.1.2</t>
  </si>
  <si>
    <t xml:space="preserve">8.1.3</t>
  </si>
  <si>
    <t xml:space="preserve">8.1.4</t>
  </si>
  <si>
    <t xml:space="preserve">8.2</t>
  </si>
  <si>
    <t xml:space="preserve">8.2.1</t>
  </si>
  <si>
    <t xml:space="preserve">8.2.2</t>
  </si>
  <si>
    <t xml:space="preserve">8.2.3</t>
  </si>
  <si>
    <t xml:space="preserve">8.2.4</t>
  </si>
  <si>
    <t xml:space="preserve">8.2.5</t>
  </si>
  <si>
    <t xml:space="preserve">EXECUÇÃO DE PAVIMENTO EM PISO INTERTRAVADO, COM BLOCO RETANGULAR COR NATURAL DE 20 X 10 CM, ESPESSURA 8 CM. AF_10/2022</t>
  </si>
  <si>
    <t xml:space="preserve">8.2.6</t>
  </si>
  <si>
    <t xml:space="preserve">8.2.7</t>
  </si>
  <si>
    <t xml:space="preserve">8.2.8</t>
  </si>
  <si>
    <t xml:space="preserve">8.2.9</t>
  </si>
  <si>
    <t xml:space="preserve">8.2.10</t>
  </si>
  <si>
    <t xml:space="preserve">8.2.11</t>
  </si>
  <si>
    <t xml:space="preserve">EXECUÇÃO DE PASSEIO EM PISO INTERTRAVADO, COM BLOCO RETANGULAR COR NATURAL DE 20 X 10 CM, ESPESSURA 6 CM. AF_10/2022</t>
  </si>
  <si>
    <t xml:space="preserve">8.2.12</t>
  </si>
  <si>
    <t xml:space="preserve">8.2.13</t>
  </si>
  <si>
    <t xml:space="preserve">8.2.14</t>
  </si>
  <si>
    <t xml:space="preserve">8.3</t>
  </si>
  <si>
    <t xml:space="preserve">8.3.1</t>
  </si>
  <si>
    <t xml:space="preserve">8.4</t>
  </si>
  <si>
    <t xml:space="preserve">8.4.1</t>
  </si>
  <si>
    <t xml:space="preserve">8.4.2</t>
  </si>
  <si>
    <t xml:space="preserve">8.4.3</t>
  </si>
  <si>
    <t xml:space="preserve">8.4.4</t>
  </si>
  <si>
    <t xml:space="preserve">8.4.5</t>
  </si>
  <si>
    <t xml:space="preserve">8.4.6</t>
  </si>
  <si>
    <t xml:space="preserve">8.4.7</t>
  </si>
  <si>
    <t xml:space="preserve">9</t>
  </si>
  <si>
    <t xml:space="preserve">SERVIÇOS COMPLEMENTARES</t>
  </si>
  <si>
    <t xml:space="preserve">9.1</t>
  </si>
  <si>
    <t xml:space="preserve">SERVIÇOS FINAIS</t>
  </si>
  <si>
    <t xml:space="preserve">9.1.1</t>
  </si>
  <si>
    <t xml:space="preserve">SP-C.2816</t>
  </si>
  <si>
    <t xml:space="preserve">CARGA MANUAL DE ENTULHO EM CAMINHAO BASCULANTE 6 M3</t>
  </si>
  <si>
    <t xml:space="preserve">9.1.2</t>
  </si>
  <si>
    <t xml:space="preserve">CARGA, MANOBRA E DESCARGA DE ENTULHO EM CAMINHÃO BASCULANTE 6 M³ - CARGA COM ESCAVADEIRA HIDRÁULICA  (CAÇAMBA DE 0,80 M³ / 111 HP) E DESCARGA LIVRE (UNIDADE: M3). AF_07/2020</t>
  </si>
  <si>
    <t xml:space="preserve">9.1.3</t>
  </si>
  <si>
    <t xml:space="preserve">TRANSPORTE COM CAMINHÃO BASCULANTE DE 6 M³, EM VIA URBANA PAVIMENTADA, DMT ATÉ 30 KM (UNIDADE: M3XKM). AF_07/2020</t>
  </si>
  <si>
    <t xml:space="preserve">M3XKM</t>
  </si>
  <si>
    <t xml:space="preserve">TOTAL GERAL</t>
  </si>
  <si>
    <t xml:space="preserve">CRONOGRAMA FÍSICO-FINANCEIRO</t>
  </si>
  <si>
    <t xml:space="preserve">MÊS</t>
  </si>
  <si>
    <t xml:space="preserve">PERCENTUAL</t>
  </si>
  <si>
    <t xml:space="preserve">CUSTO</t>
  </si>
  <si>
    <t xml:space="preserve">Mês 01</t>
  </si>
  <si>
    <t xml:space="preserve">Mês 02</t>
  </si>
  <si>
    <t xml:space="preserve">Mês 03</t>
  </si>
  <si>
    <t xml:space="preserve">Mês 04</t>
  </si>
  <si>
    <t xml:space="preserve">Mês 05</t>
  </si>
  <si>
    <t xml:space="preserve">Mês 06</t>
  </si>
  <si>
    <t xml:space="preserve">Exec. (%)</t>
  </si>
  <si>
    <t xml:space="preserve">Pgto (R$)</t>
  </si>
  <si>
    <t xml:space="preserve">TOTAIS ACUMULADOS</t>
  </si>
  <si>
    <t xml:space="preserve">Última atualização em 23/08/2023 às 15:26:06</t>
  </si>
  <si>
    <t xml:space="preserve">COMPOSIÇÃO ANALÍTICA – BDI
OBRA</t>
  </si>
  <si>
    <t xml:space="preserve">TIPO DE CONTRATAÇÃO</t>
  </si>
  <si>
    <t xml:space="preserve">Construção e reforma de edifícios</t>
  </si>
  <si>
    <t xml:space="preserve">OPÇÃO DE CÁLCULO DO BDI</t>
  </si>
  <si>
    <t xml:space="preserve">Não Desonerado</t>
  </si>
  <si>
    <t xml:space="preserve">Conforme legislação tributária municipal, definir estimativa de 
Percentual da base de cálculo para o ISS </t>
  </si>
  <si>
    <t xml:space="preserve">Sobre a base de cálculo, definir a respectiva alíquota do ISS (entre 2% e 5%)</t>
  </si>
  <si>
    <t xml:space="preserve">Situação</t>
  </si>
  <si>
    <t xml:space="preserve">1º Quartil</t>
  </si>
  <si>
    <t xml:space="preserve">Médio</t>
  </si>
  <si>
    <t xml:space="preserve">3º Quartil</t>
  </si>
  <si>
    <t xml:space="preserve">ITENS</t>
  </si>
  <si>
    <t xml:space="preserve">SIGLAS</t>
  </si>
  <si>
    <t xml:space="preserve">% ADOTADO</t>
  </si>
  <si>
    <t xml:space="preserve">Tributos (impostos COFINS 3% e PIS 0,65%)</t>
  </si>
  <si>
    <t xml:space="preserve">CP</t>
  </si>
  <si>
    <t xml:space="preserve">Tributos (ISS variável de acordo com o município)</t>
  </si>
  <si>
    <t xml:space="preserve">ISS</t>
  </si>
  <si>
    <t xml:space="preserve">Tributos (Contribuição Previdenciária sobre a 
Receita Bruta (0% ou 4,5% - desoneração)</t>
  </si>
  <si>
    <t xml:space="preserve">CPRB</t>
  </si>
  <si>
    <t xml:space="preserve">BDI CALCULADO SEM CPRB PARA COMPARAÇÃO COM PERCENTUAIS DO ACÓRDÃO</t>
  </si>
  <si>
    <r>
      <rPr>
        <b val="true"/>
        <sz val="10"/>
        <color rgb="FF000000"/>
        <rFont val="Courier New"/>
        <family val="0"/>
        <charset val="1"/>
      </rPr>
      <t xml:space="preserve">BDI </t>
    </r>
    <r>
      <rPr>
        <b val="true"/>
        <sz val="11"/>
        <color rgb="FF000000"/>
        <rFont val="Calibri"/>
        <family val="0"/>
        <charset val="1"/>
      </rPr>
      <t xml:space="preserve">(Benefícios e despesas indiretas)</t>
    </r>
  </si>
  <si>
    <t xml:space="preserve">BDI ADOTADO
(OBRA)</t>
  </si>
  <si>
    <t xml:space="preserve">=</t>
  </si>
  <si>
    <t xml:space="preserve">-   1</t>
  </si>
  <si>
    <t xml:space="preserve">(1-CP-ISS-CPRB)</t>
  </si>
  <si>
    <t xml:space="preserve">OBSERVAÇÕES</t>
  </si>
  <si>
    <t xml:space="preserve">Obs: Fórmula do BDI de acordo com o Acórdão do TCU 2622/2013.</t>
  </si>
  <si>
    <t xml:space="preserve">____________________________________</t>
  </si>
  <si>
    <t xml:space="preserve">AC</t>
  </si>
  <si>
    <t xml:space="preserve">DF</t>
  </si>
  <si>
    <t xml:space="preserve">SG</t>
  </si>
  <si>
    <t xml:space="preserve">R</t>
  </si>
  <si>
    <t xml:space="preserve">L</t>
  </si>
  <si>
    <t xml:space="preserve">K1</t>
  </si>
  <si>
    <t xml:space="preserve">K2</t>
  </si>
  <si>
    <t xml:space="preserve">K3</t>
  </si>
  <si>
    <t xml:space="preserve">(Selecionar)</t>
  </si>
  <si>
    <t xml:space="preserve">Construção de praças urbanas, rodovias, ferrovias, recapeamento e pavimentação de vias urbanas</t>
  </si>
  <si>
    <t xml:space="preserve">Construção de redes de abastecimento de água, coleta de esgoto</t>
  </si>
  <si>
    <t xml:space="preserve">Construção e manutenção de estações e redes de distribuição de energia elétrica</t>
  </si>
  <si>
    <t xml:space="preserve">Obras portuárias, marítimas e fluviais</t>
  </si>
  <si>
    <t xml:space="preserve">Fornecimento de materiais e equipamentos - aquisição indireta, junto com a licitação da obra</t>
  </si>
  <si>
    <t xml:space="preserve">Fornecimento de materiais e equipamentos - aquisição direta</t>
  </si>
  <si>
    <t xml:space="preserve">Estudos e projetos, planos e gerenciamento e outros correlatos</t>
  </si>
  <si>
    <t xml:space="preserve">COMPOSIÇÃO ANALÍTICA – BDI
EQUIPAMENTOS</t>
  </si>
  <si>
    <t xml:space="preserve">RELATÓRIO DE COMPOSIÇÕES</t>
  </si>
  <si>
    <t xml:space="preserve">OBRA:</t>
  </si>
  <si>
    <t xml:space="preserve">RESPONSÁVEL:</t>
  </si>
  <si>
    <t xml:space="preserve">GERADA EM:</t>
  </si>
  <si>
    <t xml:space="preserve">23/08/2023 às 15:51:52</t>
  </si>
  <si>
    <t xml:space="preserve">REFERÊNCIA(S):</t>
  </si>
  <si>
    <t xml:space="preserve">SINAPI: 07/2023 PR (Sem Desoneração) - ORSE: 04/2023 PR (Sem Desoneração)</t>
  </si>
  <si>
    <t xml:space="preserve">CÓDIGO COMP.</t>
  </si>
  <si>
    <t xml:space="preserve">CÓDIGO FONTE</t>
  </si>
  <si>
    <t xml:space="preserve">DESCRIÇÃO COMPOSIÇÃO / INSUMO</t>
  </si>
  <si>
    <t xml:space="preserve">UNIDADE</t>
  </si>
  <si>
    <t xml:space="preserve">COEFICIENTE</t>
  </si>
  <si>
    <t xml:space="preserve">CUSTO UNITARIO</t>
  </si>
  <si>
    <t xml:space="preserve">CUSTO TOTAL</t>
  </si>
  <si>
    <t xml:space="preserve">CUSTO MATERIAL</t>
  </si>
  <si>
    <t xml:space="preserve">CUSTO MAO DE OBRA</t>
  </si>
  <si>
    <t xml:space="preserve">CUSTO EQUIPAMENTO</t>
  </si>
  <si>
    <t xml:space="preserve">CUSTO SERVICOS 
TERCEIROS</t>
  </si>
  <si>
    <t xml:space="preserve">CUSTO SERVICOS 
OUTROS</t>
  </si>
  <si>
    <t xml:space="preserve">100574</t>
  </si>
  <si>
    <t xml:space="preserve">------</t>
  </si>
  <si>
    <t xml:space="preserve">5851</t>
  </si>
  <si>
    <t xml:space="preserve">TRATOR DE ESTEIRAS, POTÊNCIA 150 HP, PESO OPERACIONAL 16,7 T, COM RODA MOTRIZ ELEVADA E LÂMINA 3,18 M3 - CHP DIURNO. AF_06/2014</t>
  </si>
  <si>
    <t xml:space="preserve">CHP</t>
  </si>
  <si>
    <t xml:space="preserve">5853</t>
  </si>
  <si>
    <t xml:space="preserve">TRATOR DE ESTEIRAS, POTÊNCIA 150 HP, PESO OPERACIONAL 16,7 T, COM RODA MOTRIZ ELEVADA E LÂMINA 3,18 M3 - CHI DIURNO. AF_06/2014</t>
  </si>
  <si>
    <t xml:space="preserve">CHI</t>
  </si>
  <si>
    <t xml:space="preserve">88316</t>
  </si>
  <si>
    <t xml:space="preserve">SERVENTE COM ENCARGOS COMPLEMENTARES</t>
  </si>
  <si>
    <t xml:space="preserve">100576</t>
  </si>
  <si>
    <t xml:space="preserve">5901</t>
  </si>
  <si>
    <t xml:space="preserve">CAMINHÃO PIPA 10.000 L TRUCADO, PESO BRUTO TOTAL 23.000 KG, CARGA ÚTIL MÁXIMA 15.935 KG, DISTÂNCIA ENTRE EIXOS 4,8 M, POTÊNCIA 230 CV, INCLUSIVE TANQUE DE AÇO PARA TRANSPORTE DE ÁGUA - CHP DIURNO. AF_06/2014</t>
  </si>
  <si>
    <t xml:space="preserve">5903</t>
  </si>
  <si>
    <t xml:space="preserve">CAMINHÃO PIPA 10.000 L TRUCADO, PESO BRUTO TOTAL 23.000 KG, CARGA ÚTIL MÁXIMA 15.935 KG, DISTÂNCIA ENTRE EIXOS 4,8 M, POTÊNCIA 230 CV, INCLUSIVE TANQUE DE AÇO PARA TRANSPORTE DE ÁGUA - CHI DIURNO. AF_06/2014</t>
  </si>
  <si>
    <t xml:space="preserve">5932</t>
  </si>
  <si>
    <t xml:space="preserve">MOTONIVELADORA POTÊNCIA BÁSICA LÍQUIDA (PRIMEIRA MARCHA) 125 HP, PESO BRUTO 13032 KG, LARGURA DA LÂMINA DE 3,7 M - CHP DIURNO. AF_06/2014</t>
  </si>
  <si>
    <t xml:space="preserve">5934</t>
  </si>
  <si>
    <t xml:space="preserve">MOTONIVELADORA POTÊNCIA BÁSICA LÍQUIDA (PRIMEIRA MARCHA) 125 HP, PESO BRUTO 13032 KG, LARGURA DA LÂMINA DE 3,7 M - CHI DIURNO. AF_06/2014</t>
  </si>
  <si>
    <t xml:space="preserve">73436</t>
  </si>
  <si>
    <t xml:space="preserve">ROLO COMPACTADOR VIBRATÓRIO PÉ DE CARNEIRO PARA SOLOS, POTÊNCIA 80 HP, PESO OPERACIONAL SEM/COM LASTRO 7,4 / 8,8 T, LARGURA DE TRABALHO 1,68 M - CHP DIURNO. AF_02/2016</t>
  </si>
  <si>
    <t xml:space="preserve">93244</t>
  </si>
  <si>
    <t xml:space="preserve">ROLO COMPACTADOR VIBRATÓRIO PÉ DE CARNEIRO PARA SOLOS, POTÊNCIA 80 HP, PESO OPERACIONAL SEM/COM LASTRO 7,4 / 8,8 T, LARGURA DE TRABALHO 1,68 M - CHI DIURNO. AF_02/2016</t>
  </si>
  <si>
    <t xml:space="preserve">100981</t>
  </si>
  <si>
    <t xml:space="preserve">5631</t>
  </si>
  <si>
    <t xml:space="preserve">ESCAVADEIRA HIDRÁULICA SOBRE ESTEIRAS, CAÇAMBA 0,80 M3, PESO OPERACIONAL 17 T, POTENCIA BRUTA 111 HP - CHP DIURNO. AF_06/2014</t>
  </si>
  <si>
    <t xml:space="preserve">5632</t>
  </si>
  <si>
    <t xml:space="preserve">ESCAVADEIRA HIDRÁULICA SOBRE ESTEIRAS, CAÇAMBA 0,80 M3, PESO OPERACIONAL 17 T, POTENCIA BRUTA 111 HP - CHI DIURNO. AF_06/2014</t>
  </si>
  <si>
    <t xml:space="preserve">67826</t>
  </si>
  <si>
    <t xml:space="preserve">CAMINHÃO BASCULANTE 6 M3 TOCO, PESO BRUTO TOTAL 16.000 KG, CARGA ÚTIL MÁXIMA 11.130 KG, DISTÂNCIA ENTRE EIXOS 5,36 M, POTÊNCIA 185 CV, INCLUSIVE CAÇAMBA METÁLICA - CHP DIURNO. AF_06/2014</t>
  </si>
  <si>
    <t xml:space="preserve">67827</t>
  </si>
  <si>
    <t xml:space="preserve">CAMINHÃO BASCULANTE 6 M3 TOCO, PESO BRUTO TOTAL 16.000 KG, CARGA ÚTIL MÁXIMA 11.130 KG, DISTÂNCIA ENTRE EIXOS 5,36 M, POTÊNCIA 185 CV, INCLUSIVE CAÇAMBA METÁLICA - CHI DIURNO. AF_06/2014</t>
  </si>
  <si>
    <t xml:space="preserve">101116</t>
  </si>
  <si>
    <t xml:space="preserve">5847</t>
  </si>
  <si>
    <t xml:space="preserve">TRATOR DE ESTEIRAS, POTÊNCIA 170 HP, PESO OPERACIONAL 19 T, CAÇAMBA 5,2 M3 - CHP DIURNO. AF_06/2014</t>
  </si>
  <si>
    <t xml:space="preserve">5849</t>
  </si>
  <si>
    <t xml:space="preserve">TRATOR DE ESTEIRAS, POTÊNCIA 170 HP, PESO OPERACIONAL 19 T, CAÇAMBA 5,2 M3 - CHI DIURNO. AF_06/2014</t>
  </si>
  <si>
    <t xml:space="preserve">101230</t>
  </si>
  <si>
    <t xml:space="preserve">89876</t>
  </si>
  <si>
    <t xml:space="preserve">CAMINHÃO BASCULANTE 14 M3, COM CAVALO MECÂNICO DE CAPACIDADE MÁXIMA DE TRAÇÃO COMBINADO DE 36000 KG, POTÊNCIA 286 CV, INCLUSIVE SEMIREBOQUE COM CAÇAMBA METÁLICA - CHP DIURNO. AF_12/2014</t>
  </si>
  <si>
    <t xml:space="preserve">89877</t>
  </si>
  <si>
    <t xml:space="preserve">CAMINHÃO BASCULANTE 14 M3, COM CAVALO MECÂNICO DE CAPACIDADE MÁXIMA DE TRAÇÃO COMBINADO DE 36000 KG, POTÊNCIA 286 CV, INCLUSIVE SEMIREBOQUE COM CAÇAMBA METÁLICA - CHI DIURNO. AF_12/2014</t>
  </si>
  <si>
    <t xml:space="preserve">101862</t>
  </si>
  <si>
    <t xml:space="preserve">I. SINAPI</t>
  </si>
  <si>
    <t xml:space="preserve">370</t>
  </si>
  <si>
    <t xml:space="preserve">AREIA MEDIA - POSTO JAZIDA/FORNECEDOR (RETIRADO NA JAZIDA, SEM TRANSPORTE)</t>
  </si>
  <si>
    <t xml:space="preserve">------------</t>
  </si>
  <si>
    <t xml:space="preserve">4741</t>
  </si>
  <si>
    <t xml:space="preserve">PO DE PEDRA (POSTO PEDREIRA/FORNECEDOR, SEM FRETE)</t>
  </si>
  <si>
    <t xml:space="preserve">88260</t>
  </si>
  <si>
    <t xml:space="preserve">CALCETEIRO COM ENCARGOS COMPLEMENTARES</t>
  </si>
  <si>
    <t xml:space="preserve">91277</t>
  </si>
  <si>
    <t xml:space="preserve">PLACA VIBRATÓRIA REVERSÍVEL COM MOTOR 4 TEMPOS A GASOLINA, FORÇA CENTRÍFUGA DE 25 KN (2500 KGF), POTÊNCIA 5,5 CV - CHP DIURNO. AF_08/2015</t>
  </si>
  <si>
    <t xml:space="preserve">91278</t>
  </si>
  <si>
    <t xml:space="preserve">PLACA VIBRATÓRIA REVERSÍVEL COM MOTOR 4 TEMPOS A GASOLINA, FORÇA CENTRÍFUGA DE 25 KN (2500 KGF), POTÊNCIA 5,5 CV - CHI DIURNO. AF_08/2015</t>
  </si>
  <si>
    <t xml:space="preserve">97635</t>
  </si>
  <si>
    <t xml:space="preserve">102990</t>
  </si>
  <si>
    <t xml:space="preserve">10541</t>
  </si>
  <si>
    <t xml:space="preserve">CALHA/CANALETA DE CONCRETO SIMPLES, TIPO MEIA CANA, DIAMETRO DE 30 CM, PARA AGUA PLUVIAL</t>
  </si>
  <si>
    <t xml:space="preserve">88309</t>
  </si>
  <si>
    <t xml:space="preserve">PEDREIRO COM ENCARGOS COMPLEMENTARES</t>
  </si>
  <si>
    <t xml:space="preserve">88629</t>
  </si>
  <si>
    <t xml:space="preserve">ARGAMASSA TRAÇO 1:3 (EM VOLUME DE CIMENTO E AREIA MÉDIA ÚMIDA), PREPARO MANUAL. AF_08/2019</t>
  </si>
  <si>
    <t xml:space="preserve">103670</t>
  </si>
  <si>
    <t xml:space="preserve">88262</t>
  </si>
  <si>
    <t xml:space="preserve">CARPINTEIRO DE FORMAS COM ENCARGOS COMPLEMENTARES</t>
  </si>
  <si>
    <t xml:space="preserve">90586</t>
  </si>
  <si>
    <t xml:space="preserve">VIBRADOR DE IMERSÃO, DIÂMETRO DE PONTEIRA 45MM, MOTOR ELÉTRICO TRIFÁSICO POTÊNCIA DE 2 CV - CHP DIURNO. AF_06/2015</t>
  </si>
  <si>
    <t xml:space="preserve">90587</t>
  </si>
  <si>
    <t xml:space="preserve">VIBRADOR DE IMERSÃO, DIÂMETRO DE PONTEIRA 45MM, MOTOR ELÉTRICO TRIFÁSICO POTÊNCIA DE 2 CV - CHI DIURNO. AF_06/2015</t>
  </si>
  <si>
    <t xml:space="preserve">88253</t>
  </si>
  <si>
    <t xml:space="preserve">244</t>
  </si>
  <si>
    <t xml:space="preserve">AUXILIAR DE TOPOGRAFO (HORISTA)</t>
  </si>
  <si>
    <t xml:space="preserve">37372</t>
  </si>
  <si>
    <t xml:space="preserve">EXAMES - HORISTA (COLETADO CAIXA - ENCARGOS COMPLEMENTARES)</t>
  </si>
  <si>
    <t xml:space="preserve">37373</t>
  </si>
  <si>
    <t xml:space="preserve">SEGURO - HORISTA (COLETADO CAIXA - ENCARGOS COMPLEMENTARES)</t>
  </si>
  <si>
    <t xml:space="preserve">43469</t>
  </si>
  <si>
    <t xml:space="preserve">FERRAMENTAS - FAMILIA TOPOGRAFO - HORISTA (ENCARGOS COMPLEMENTARES - COLETADO CAIXA)</t>
  </si>
  <si>
    <t xml:space="preserve">43493</t>
  </si>
  <si>
    <t xml:space="preserve">EPI - FAMILIA TOPOGRAFO - HORISTA (ENCARGOS COMPLEMENTARES - COLETADO CAIXA)</t>
  </si>
  <si>
    <t xml:space="preserve">95322</t>
  </si>
  <si>
    <t xml:space="preserve">CURSO DE CAPACITAÇÃO PARA AUXILIAR DE TOPÓGRAFO (ENCARGOS COMPLEMENTARES) - HORISTA</t>
  </si>
  <si>
    <t xml:space="preserve">90105</t>
  </si>
  <si>
    <t xml:space="preserve">5678</t>
  </si>
  <si>
    <t xml:space="preserve"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</si>
  <si>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5679</t>
  </si>
  <si>
    <t xml:space="preserve"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</si>
  <si>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90776</t>
  </si>
  <si>
    <t xml:space="preserve">4083</t>
  </si>
  <si>
    <t xml:space="preserve">ENCARREGADO GERAL DE OBRAS (HORISTA)</t>
  </si>
  <si>
    <t xml:space="preserve">43463</t>
  </si>
  <si>
    <t xml:space="preserve">FERRAMENTAS - FAMILIA ENCARREGADO GERAL - HORISTA (ENCARGOS COMPLEMENTARES - COLETADO CAIXA)</t>
  </si>
  <si>
    <t xml:space="preserve">43487</t>
  </si>
  <si>
    <t xml:space="preserve">EPI - FAMILIA ENCARREGADO GERAL - HORISTA (ENCARGOS COMPLEMENTARES - COLETADO CAIXA)</t>
  </si>
  <si>
    <t xml:space="preserve">95401</t>
  </si>
  <si>
    <t xml:space="preserve">CURSO DE CAPACITAÇÃO PARA ENCARREGADO GERAL (ENCARGOS COMPLEMENTARES) - HORISTA</t>
  </si>
  <si>
    <t xml:space="preserve">90777</t>
  </si>
  <si>
    <t xml:space="preserve">2706</t>
  </si>
  <si>
    <t xml:space="preserve">ENGENHEIRO CIVIL DE OBRA JUNIOR</t>
  </si>
  <si>
    <t xml:space="preserve">43462</t>
  </si>
  <si>
    <t xml:space="preserve">FERRAMENTAS - FAMILIA ENGENHEIRO CIVIL - HORISTA (ENCARGOS COMPLEMENTARES - COLETADO CAIXA)</t>
  </si>
  <si>
    <t xml:space="preserve">43486</t>
  </si>
  <si>
    <t xml:space="preserve">EPI - FAMILIA ENGENHEIRO CIVIL - HORISTA (ENCARGOS COMPLEMENTARES - COLETADO CAIXA)</t>
  </si>
  <si>
    <t xml:space="preserve">95402</t>
  </si>
  <si>
    <t xml:space="preserve">CURSO DE CAPACITAÇÃO PARA ENGENHEIRO CIVIL DE OBRA JÚNIOR (ENCARGOS COMPLEMENTARES) - HORISTA</t>
  </si>
  <si>
    <t xml:space="preserve">90781</t>
  </si>
  <si>
    <t xml:space="preserve">7592</t>
  </si>
  <si>
    <t xml:space="preserve">TOPOGRAFO (HORISTA)</t>
  </si>
  <si>
    <t xml:space="preserve">95406</t>
  </si>
  <si>
    <t xml:space="preserve">CURSO DE CAPACITAÇÃO PARA TOPÓGRAFO (ENCARGOS COMPLEMENTARES) - HORISTA</t>
  </si>
  <si>
    <t xml:space="preserve">92396</t>
  </si>
  <si>
    <t xml:space="preserve">36155</t>
  </si>
  <si>
    <t xml:space="preserve">BLOQUETE/PISO INTERTRAVADO DE CONCRETO - MODELO ONDA/16 FACES/RETANGULAR/TIJOLINHO/PAVER/HOLANDES/PARALELEPIPEDO, 20 CM X 10 CM, E = 6 CM, RESISTENCIA DE 35 MPA (NBR 9781), COR NATURAL</t>
  </si>
  <si>
    <t xml:space="preserve">91283</t>
  </si>
  <si>
    <t xml:space="preserve">CORTADORA DE PISO COM MOTOR 4 TEMPOS A GASOLINA, POTÊNCIA DE 13 HP, COM DISCO DE CORTE DIAMANTADO SEGMENTADO PARA CONCRETO, DIÂMETRO DE 350 MM, FURO DE 1" (14 X 1") - CHP DIURNO. AF_08/2015</t>
  </si>
  <si>
    <t xml:space="preserve">91285</t>
  </si>
  <si>
    <t xml:space="preserve">CORTADORA DE PISO COM MOTOR 4 TEMPOS A GASOLINA, POTÊNCIA DE 13 HP, COM DISCO DE CORTE DIAMANTADO SEGMENTADO PARA CONCRETO, DIÂMETRO DE 350 MM, FURO DE 1" (14 X 1") - CHI DIURNO. AF_08/2015</t>
  </si>
  <si>
    <t xml:space="preserve">92398</t>
  </si>
  <si>
    <t xml:space="preserve">36170</t>
  </si>
  <si>
    <t xml:space="preserve">BLOQUETE/PISO INTERTRAVADO DE CONCRETO - MODELO ONDA/16 FACES/RETANGULAR/TIJOLINHO/PAVER/HOLANDES/PARALELEPIPEDO, *22 CM X 11* CM, E = 8 CM, RESISTENCIA DE 35 MPA (NBR 9781), COR NATURAL</t>
  </si>
  <si>
    <t xml:space="preserve">93358</t>
  </si>
  <si>
    <t xml:space="preserve">93378</t>
  </si>
  <si>
    <t xml:space="preserve">91533</t>
  </si>
  <si>
    <t xml:space="preserve">COMPACTADOR DE SOLOS DE PERCUSSÃO (SOQUETE) COM MOTOR A GASOLINA 4 TEMPOS, POTÊNCIA 4 CV - CHP DIURNO. AF_08/2015</t>
  </si>
  <si>
    <t xml:space="preserve">91534</t>
  </si>
  <si>
    <t xml:space="preserve">COMPACTADOR DE SOLOS DE PERCUSSÃO (SOQUETE) COM MOTOR A GASOLINA 4 TEMPOS, POTÊNCIA 4 CV - CHI DIURNO. AF_08/2015</t>
  </si>
  <si>
    <t xml:space="preserve">95606</t>
  </si>
  <si>
    <t xml:space="preserve">UMIDIFICAÇÃO DE MATERIAL PARA VALAS COM CAMINHÃO PIPA 10000L. AF_11/2016</t>
  </si>
  <si>
    <t xml:space="preserve">94273</t>
  </si>
  <si>
    <t xml:space="preserve">4059</t>
  </si>
  <si>
    <t xml:space="preserve">MEIO-FIO OU GUIA DE CONCRETO, PRE-MOLDADO, COMP 1 M, *30 X 12/15* CM (H X L1/L2)</t>
  </si>
  <si>
    <t xml:space="preserve">94970</t>
  </si>
  <si>
    <t xml:space="preserve">1379</t>
  </si>
  <si>
    <t xml:space="preserve">CIMENTO PORTLAND COMPOSTO CP II-32</t>
  </si>
  <si>
    <t xml:space="preserve">4721</t>
  </si>
  <si>
    <t xml:space="preserve">PEDRA BRITADA N. 1 (9,5 a 19 MM) POSTO PEDREIRA/FORNECEDOR, SEM FRETE</t>
  </si>
  <si>
    <t xml:space="preserve">88377</t>
  </si>
  <si>
    <t xml:space="preserve">OPERADOR DE BETONEIRA ESTACIONÁRIA/MISTURADOR COM ENCARGOS COMPLEMENTARES</t>
  </si>
  <si>
    <t xml:space="preserve">89225</t>
  </si>
  <si>
    <t xml:space="preserve">BETONEIRA CAPACIDADE NOMINAL DE 600 L, CAPACIDADE DE MISTURA 360 L, MOTOR ELÉTRICO TRIFÁSICO POTÊNCIA DE 4 CV, SEM CARREGADOR - CHP DIURNO. AF_05/2023</t>
  </si>
  <si>
    <t xml:space="preserve">89226</t>
  </si>
  <si>
    <t xml:space="preserve">BETONEIRA CAPACIDADE NOMINAL DE 600 L, CAPACIDADE DE MISTURA 360 L, MOTOR ELÉTRICO TRIFÁSICO POTÊNCIA DE 4 CV, SEM CARREGADOR - CHI DIURNO. AF_05/2023</t>
  </si>
  <si>
    <t xml:space="preserve">96385</t>
  </si>
  <si>
    <t xml:space="preserve">96396</t>
  </si>
  <si>
    <t xml:space="preserve">5684</t>
  </si>
  <si>
    <t xml:space="preserve">ROLO COMPACTADOR VIBRATÓRIO DE UM CILINDRO AÇO LISO, POTÊNCIA 80 HP, PESO OPERACIONAL MÁXIMO 8,1 T, IMPACTO DINÂMICO 16,15 / 9,5 T, LARGURA DE TRABALHO 1,68 M - CHP DIURNO. AF_06/2014</t>
  </si>
  <si>
    <t xml:space="preserve">5685</t>
  </si>
  <si>
    <t xml:space="preserve">ROLO COMPACTADOR VIBRATÓRIO DE UM CILINDRO AÇO LISO, POTÊNCIA 80 HP, PESO OPERACIONAL MÁXIMO 8,1 T, IMPACTO DINÂMICO 16,15 / 9,5 T, LARGURA DE TRABALHO 1,68 M - CHI DIURNO. AF_06/2014</t>
  </si>
  <si>
    <t xml:space="preserve">96393</t>
  </si>
  <si>
    <t xml:space="preserve">USINAGEM DE BRITA GRADUADA SIMPLES. AF_03/2020</t>
  </si>
  <si>
    <t xml:space="preserve">96463</t>
  </si>
  <si>
    <t xml:space="preserve">ROLO COMPACTADOR DE PNEUS, ESTATICO, PRESSAO VARIAVEL, POTENCIA 110 HP, PESO SEM/COM LASTRO 10,8/27 T, LARGURA DE ROLAGEM 2,30 M - CHP DIURNO. AF_06/2017</t>
  </si>
  <si>
    <t xml:space="preserve">96464</t>
  </si>
  <si>
    <t xml:space="preserve">ROLO COMPACTADOR DE PNEUS, ESTATICO, PRESSAO VARIAVEL, POTENCIA 110 HP, PESO SEM/COM LASTRO 10,8/27 T, LARGURA DE ROLAGEM 2,30 M - CHI DIURNO. AF_06/2017</t>
  </si>
  <si>
    <t xml:space="preserve">96400</t>
  </si>
  <si>
    <t xml:space="preserve">4730</t>
  </si>
  <si>
    <t xml:space="preserve">PEDRA DE MAO OU PEDRA RACHAO PARA ARRIMO/FUNDACAO (POSTO PEDREIRA/FORNECEDOR, SEM FRETE)</t>
  </si>
  <si>
    <t xml:space="preserve">97086</t>
  </si>
  <si>
    <t xml:space="preserve">2692</t>
  </si>
  <si>
    <t xml:space="preserve">DESMOLDANTE PROTETOR PARA FORMAS DE MADEIRA, DE BASE OLEOSA EMULSIONADA EM AGUA</t>
  </si>
  <si>
    <t xml:space="preserve">4491</t>
  </si>
  <si>
    <t xml:space="preserve">PONTALETE *7,5 X 7,5* CM EM PINUS, MISTA OU EQUIVALENTE DA REGIAO - BRUTA</t>
  </si>
  <si>
    <t xml:space="preserve">4517</t>
  </si>
  <si>
    <t xml:space="preserve">SARRAFO *2,5 X 7,5* CM EM PINUS, MISTA OU EQUIVALENTE DA REGIAO - BRUTA</t>
  </si>
  <si>
    <t xml:space="preserve">5068</t>
  </si>
  <si>
    <t xml:space="preserve">PREGO DE ACO POLIDO COM CABECA 17 X 21 (2 X 11)</t>
  </si>
  <si>
    <t xml:space="preserve">6193</t>
  </si>
  <si>
    <t xml:space="preserve">TABUA  NAO  APARELHADA  *2,5 X 20* CM, EM MACARANDUBA, ANGELIM OU EQUIVALENTE DA REGIAO - BRUTA</t>
  </si>
  <si>
    <t xml:space="preserve">88239</t>
  </si>
  <si>
    <t xml:space="preserve">AJUDANTE DE CARPINTEIRO COM ENCARGOS COMPLEMENTARES</t>
  </si>
  <si>
    <t xml:space="preserve">97090</t>
  </si>
  <si>
    <t xml:space="preserve">7155</t>
  </si>
  <si>
    <t xml:space="preserve">TELA DE ACO SOLDADA NERVURADA, CA-60, Q-138, (2,20 KG/M2), DIAMETRO DO FIO = 4,2 MM, LARGURA = 2,45 M, ESPACAMENTO DA MALHA = 10  X 10 CM</t>
  </si>
  <si>
    <t xml:space="preserve">42407</t>
  </si>
  <si>
    <t xml:space="preserve">TRELICA NERVURADA (ESPACADOR), ALTURA = 120,0 MM, DIAMETRO DOS BANZOS INFERIORES E SUPERIOR = 6,0 MM, DIAMETRO DA DIAGONAL = 4,2 MM</t>
  </si>
  <si>
    <t xml:space="preserve">43132</t>
  </si>
  <si>
    <t xml:space="preserve">ARAME RECOZIDO 16 BWG, D = 1,65 MM (0,016 KG/M) OU 18 BWG, D = 1,25 MM (0,01 KG/M)</t>
  </si>
  <si>
    <t xml:space="preserve">88238</t>
  </si>
  <si>
    <t xml:space="preserve">AJUDANTE DE ARMADOR COM ENCARGOS COMPLEMENTARES</t>
  </si>
  <si>
    <t xml:space="preserve">88245</t>
  </si>
  <si>
    <t xml:space="preserve">ARMADOR COM ENCARGOS COMPLEMENTARES</t>
  </si>
  <si>
    <t xml:space="preserve">97114</t>
  </si>
  <si>
    <t xml:space="preserve">97914</t>
  </si>
  <si>
    <t xml:space="preserve">98504</t>
  </si>
  <si>
    <t xml:space="preserve">3324</t>
  </si>
  <si>
    <t xml:space="preserve">GRAMA BATATAIS EM PLACAS, SEM PLANTIO</t>
  </si>
  <si>
    <t xml:space="preserve">88441</t>
  </si>
  <si>
    <t xml:space="preserve">JARDINEIRO COM ENCARGOS COMPLEMENTARES</t>
  </si>
  <si>
    <t xml:space="preserve">98525</t>
  </si>
  <si>
    <t xml:space="preserve">89031</t>
  </si>
  <si>
    <t xml:space="preserve">TRATOR DE ESTEIRAS, POTÊNCIA 100 HP, PESO OPERACIONAL 9,4 T, COM LÂMINA 2,19 M3 - CHI DIURNO. AF_06/2014</t>
  </si>
  <si>
    <t xml:space="preserve">89032</t>
  </si>
  <si>
    <t xml:space="preserve">TRATOR DE ESTEIRAS, POTÊNCIA 100 HP, PESO OPERACIONAL 9,4 T, COM LÂMINA 2,19 M3 - CHP DIURNO. AF_06/2014</t>
  </si>
  <si>
    <t xml:space="preserve">442</t>
  </si>
  <si>
    <t xml:space="preserve">PARAFUSO FRANCES M16 EM ACO GALVANIZADO, COMPRIMENTO = 45 MM, DIAMETRO = 16 MM, CABECA ABAULADA</t>
  </si>
  <si>
    <t xml:space="preserve">4377</t>
  </si>
  <si>
    <t xml:space="preserve">PARAFUSO DE ACO ZINCADO COM ROSCA SOBERBA, CABECA CHATA E FENDA SIMPLES, DIAMETRO 4,2 MM, COMPRIMENTO * 32 * MM</t>
  </si>
  <si>
    <t xml:space="preserve">34723</t>
  </si>
  <si>
    <t xml:space="preserve">PLACA DE SINALIZACAO EM CHAPA DE ACO NUM 16 COM PINTURA REFLETIVA</t>
  </si>
  <si>
    <t xml:space="preserve">ET-C.1768</t>
  </si>
  <si>
    <t xml:space="preserve">CONCRETAGEM DE RADIER, PISO OU LAJE SOBRE SOLO, FCK 25 MPA, PARA ESPESSURA DE 8 CM - LANÇAMENTO E ACABAMENTO. REF. 97094</t>
  </si>
  <si>
    <t xml:space="preserve">1527</t>
  </si>
  <si>
    <t xml:space="preserve">CONCRETO USINADO BOMBEAVEL, CLASSE DE RESISTENCIA C25, BRITA 0 E 1, SLUMP = 100 +/- 20 MM, COM BOMBEAMENTO (DISPONIBILIZACAO DE BOMBA), SEM O LANCAMENTO (NBR 8953)</t>
  </si>
  <si>
    <t xml:space="preserve">95276</t>
  </si>
  <si>
    <t xml:space="preserve">POLIDORA DE PISO (POLITRIZ), PESO DE 100KG, DIÂMETRO 450 MM, MOTOR ELÉTRICO, POTÊNCIA 4 HP - CHP DIURNO. AF_05/2023</t>
  </si>
  <si>
    <t xml:space="preserve">21013</t>
  </si>
  <si>
    <t xml:space="preserve">TUBO ACO GALVANIZADO COM COSTURA, CLASSE LEVE, DN 50 MM ( 2"),  E = 3,00 MM,  *4,40* KG/M (NBR 5580)</t>
  </si>
  <si>
    <t xml:space="preserve">87449</t>
  </si>
  <si>
    <t xml:space="preserve">ALVENARIA DE VEDAÇÃO DE BLOCOS VAZADOS DE CONCRETO DE 14X19X39CM (ESPESSURA 14CM) DE PAREDES COM ÁREA LÍQUIDA MENOR QUE 6M² SEM VÃOS E ARGAMASSA DE ASSENTAMENTO COM PREPARO EM BETONEIRA. AF_06/2014</t>
  </si>
  <si>
    <t xml:space="preserve">96536</t>
  </si>
  <si>
    <t xml:space="preserve">FABRICAÇÃO, MONTAGEM E DESMONTAGEM DE FÔRMA PARA VIGA BALDRAME, EM MADEIRA SERRADA, E=25 MM, 4 UTILIZAÇÕES. AF_06/2017</t>
  </si>
  <si>
    <t xml:space="preserve">92873</t>
  </si>
  <si>
    <t xml:space="preserve">LANÇAMENTO COM USO DE BALDES, ADENSAMENTO E ACABAMENTO DE CONCRETO EM ESTRUTURAS. AF_12/2015</t>
  </si>
  <si>
    <t xml:space="preserve">94963</t>
  </si>
  <si>
    <t xml:space="preserve">CONCRETO FCK = 15MPA, TRAÇO 1:3,4:3,5 (EM MASSA SECA DE CIMENTO/ AREIA MÉDIA/ BRITA 1) - PREPARO MECÂNICO COM BETONEIRA 400 L. AF_05/2021</t>
  </si>
  <si>
    <t xml:space="preserve">94965</t>
  </si>
  <si>
    <t xml:space="preserve">CONCRETO FCK = 25MPA, TRAÇO 1:2,3:2,7 (EM MASSA SECA DE CIMENTO/ AREIA MÉDIA/ BRITA 1) - PREPARO MECÂNICO COM BETONEIRA 400 L. AF_05/2021</t>
  </si>
  <si>
    <t xml:space="preserve">87286</t>
  </si>
  <si>
    <t xml:space="preserve">ARGAMASSA TRAÇO 1:1:6 (EM VOLUME DE CIMENTO, CAL E AREIA MÉDIA ÚMIDA) PARA EMBOÇO/MASSA ÚNICA/ASSENTAMENTO DE ALVENARIA DE VEDAÇÃO, PREPARO MECÂNICO COM BETONEIRA 400 L. AF_08/2019</t>
  </si>
  <si>
    <t xml:space="preserve">92794</t>
  </si>
  <si>
    <t xml:space="preserve">CORTE E DOBRA DE AÇO CA-50, DIÂMETRO DE 10,0 MM, UTILIZADO EM ESTRUTURAS DIVERSAS, EXCETO LAJES. AF_12/2015</t>
  </si>
  <si>
    <t xml:space="preserve">546</t>
  </si>
  <si>
    <t xml:space="preserve">BARRA DE FERRO CHATA, RETANGULAR (QUALQUER BITOLA)</t>
  </si>
  <si>
    <t xml:space="preserve">11002</t>
  </si>
  <si>
    <t xml:space="preserve">ELETRODO REVESTIDO AWS - E6013, DIAMETRO IGUAL A 2,50 MM</t>
  </si>
  <si>
    <t xml:space="preserve">88251</t>
  </si>
  <si>
    <t xml:space="preserve">AUXILIAR DE SERRALHEIRO COM ENCARGOS COMPLEMENTARES</t>
  </si>
  <si>
    <t xml:space="preserve">88315</t>
  </si>
  <si>
    <t xml:space="preserve">SERRALHEIRO COM ENCARGOS COMPLEMENTARES</t>
  </si>
  <si>
    <t xml:space="preserve">4777</t>
  </si>
  <si>
    <t xml:space="preserve">CANTONEIRA ACO ABAS IGUAIS (QUALQUER BITOLA), ESPESSURA ENTRE 1/8" E 1/4"</t>
  </si>
  <si>
    <t xml:space="preserve">PI-C.1052</t>
  </si>
  <si>
    <t xml:space="preserve">PINTURA TINTA EPOXI, DUAS DEMAOS, SOBRE SUPERFICIE METALICA, INCLUSO UMA DEMAO DE FUNDO ANTICORROSIVO. UTILIZACAO DE REVOLVER (AR-COMPRIMIDO)</t>
  </si>
  <si>
    <t xml:space="preserve">3768</t>
  </si>
  <si>
    <t xml:space="preserve">LIXA EM FOLHA PARA FERRO, NUMERO 150</t>
  </si>
  <si>
    <t xml:space="preserve">7304</t>
  </si>
  <si>
    <t xml:space="preserve">TINTA EPOXI BASE AGUA PREMIUM, BRANCA</t>
  </si>
  <si>
    <t xml:space="preserve">7307</t>
  </si>
  <si>
    <t xml:space="preserve">FUNDO ANTICORROSIVO PARA METAIS FERROSOS (ZARCAO)</t>
  </si>
  <si>
    <t xml:space="preserve">88310</t>
  </si>
  <si>
    <t xml:space="preserve">PINTOR COM ENCARGOS COMPLEMENTARES</t>
  </si>
  <si>
    <t xml:space="preserve">5330</t>
  </si>
  <si>
    <t xml:space="preserve">DILUENTE EPOXI</t>
  </si>
  <si>
    <t xml:space="preserve">7343</t>
  </si>
  <si>
    <t xml:space="preserve">TINTA ACRILICA A BASE DE SOLVENTE, PARA SINALIZACAO HORIZONTAL VIARIA (NBR 11862)</t>
  </si>
  <si>
    <t xml:space="preserve">366</t>
  </si>
  <si>
    <t xml:space="preserve">AREIA FINA - POSTO JAZIDA/FORNECEDOR (RETIRADO NA JAZIDA, SEM TRANSPORTE)</t>
  </si>
  <si>
    <t xml:space="preserve">I. ORSE</t>
  </si>
  <si>
    <t xml:space="preserve">13913</t>
  </si>
  <si>
    <t xml:space="preserve">PISO INTERTRAVADO TÁTIL DIRECIONAL/ALERTA, DE CONCRETO VIBRADO FCK=35MPA, EM DIVERSAS CORES, DIMENSÕES 0,20X0,20X0,06M. DA RELEVO PREMOLDADOS/SIMILAR.</t>
  </si>
  <si>
    <t xml:space="preserve">4791</t>
  </si>
  <si>
    <t xml:space="preserve">ADESIVO ACRILICO DE BASE AQUOSA / COLA DE CONTATO</t>
  </si>
  <si>
    <t xml:space="preserve">38181</t>
  </si>
  <si>
    <t xml:space="preserve">PISO TATIL ALERTA OU DIRECIONAL, DE BORRACHA, COLORIDO, 25 X 25 CM, E = 5 MM, PARA COLA</t>
  </si>
  <si>
    <t xml:space="preserve">3777</t>
  </si>
  <si>
    <t xml:space="preserve">LONA PLASTICA PESADA PRETA, E = 150 MICRA</t>
  </si>
  <si>
    <t xml:space="preserve">88270</t>
  </si>
  <si>
    <t xml:space="preserve">IMPERMEABILIZADOR COM ENCARGOS COMPLEMENTARES</t>
  </si>
  <si>
    <t xml:space="preserve">I. PRÓPRIO</t>
  </si>
  <si>
    <t xml:space="preserve">PV-I.3435</t>
  </si>
  <si>
    <t xml:space="preserve">SP-I.1103</t>
  </si>
  <si>
    <t xml:space="preserve">345</t>
  </si>
  <si>
    <t xml:space="preserve">ARAME GALVANIZADO 18 BWG, D = 1,24MM (0,009 KG/M)</t>
  </si>
  <si>
    <t xml:space="preserve">37524</t>
  </si>
  <si>
    <t xml:space="preserve">TELA PLASTICA LARANJA, TIPO TAPUME PARA SINALIZACAO, MALHA RETANGULAR, ROLO 1.20 X 50 M (L X C)</t>
  </si>
  <si>
    <t xml:space="preserve">4417</t>
  </si>
  <si>
    <t xml:space="preserve">SARRAFO NAO APARELHADO *2,5 X 7* CM, EM MACARANDUBA, ANGELIM OU EQUIVALENTE DA REGIAO -  BRUTA</t>
  </si>
  <si>
    <t xml:space="preserve">4813</t>
  </si>
  <si>
    <t xml:space="preserve">PLACA DE OBRA (PARA CONSTRUCAO CIVIL) EM CHAPA GALVANIZADA *N. 22*, ADESIVADA, DE *2,4 X 1,2* M (SEM POSTES PARA FIXACAO)</t>
  </si>
  <si>
    <t xml:space="preserve">5075</t>
  </si>
  <si>
    <t xml:space="preserve">PREGO DE ACO POLIDO COM CABECA 18 X 30 (2 3/4 X 10)</t>
  </si>
  <si>
    <t xml:space="preserve">5961</t>
  </si>
  <si>
    <t xml:space="preserve">CAMINHÃO BASCULANTE 6 M3, PESO BRUTO TOTAL 16.000 KG, CARGA ÚTIL MÁXIMA 13.071 KG, DISTÂNCIA ENTRE EIXOS 4,80 M, POTÊNCIA 230 CV INCLUSIVE CAÇAMBA METÁLICA - CHI DIURNO. AF_06/2014</t>
  </si>
</sst>
</file>

<file path=xl/styles.xml><?xml version="1.0" encoding="utf-8"?>
<styleSheet xmlns="http://schemas.openxmlformats.org/spreadsheetml/2006/main">
  <numFmts count="21">
    <numFmt numFmtId="164" formatCode="General"/>
    <numFmt numFmtId="165" formatCode="0.00"/>
    <numFmt numFmtId="166" formatCode="#,##0.00"/>
    <numFmt numFmtId="167" formatCode="[$R$-416]\ #,##0.00;[RED]\-[$R$-416]\ #,##0.00"/>
    <numFmt numFmtId="168" formatCode="@"/>
    <numFmt numFmtId="169" formatCode="dddd&quot;, &quot;mmmm\ dd&quot;, &quot;yyyy"/>
    <numFmt numFmtId="170" formatCode="0.0000%"/>
    <numFmt numFmtId="171" formatCode="#,##0"/>
    <numFmt numFmtId="172" formatCode="General"/>
    <numFmt numFmtId="173" formatCode="0.00%"/>
    <numFmt numFmtId="174" formatCode="0.00%;[RED]\-0.00%"/>
    <numFmt numFmtId="175" formatCode="hh:mm:ss"/>
    <numFmt numFmtId="176" formatCode="[hh]:mm:ss"/>
    <numFmt numFmtId="177" formatCode="[$R$-416]\ #,##0.00;[RED]\-[$R$-416]\ #,##0.00;\-"/>
    <numFmt numFmtId="178" formatCode="0"/>
    <numFmt numFmtId="179" formatCode="&quot; R$ &quot;* #,##0.00\ ;&quot;-R$ &quot;* #,##0.00\ ;&quot; R$ &quot;* \-#\ ;@\ "/>
    <numFmt numFmtId="180" formatCode="&quot; R$ &quot;* #,##0.00\ ;&quot; R$ &quot;* \(#,##0.00\);&quot; R$ &quot;* \-#\ ;@\ "/>
    <numFmt numFmtId="181" formatCode="0.00%;0.00%;\—"/>
    <numFmt numFmtId="182" formatCode="mmmm\ d&quot;, &quot;yyyy"/>
    <numFmt numFmtId="183" formatCode="#,##0.00000000"/>
    <numFmt numFmtId="184" formatCode="[$R$-416]\ #,##0.0000;[RED]\-[$R$-416]\ #,##0.0000"/>
  </numFmts>
  <fonts count="23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ourier New"/>
      <family val="0"/>
      <charset val="1"/>
    </font>
    <font>
      <b val="true"/>
      <sz val="24"/>
      <color rgb="FF000000"/>
      <name val="Courier New"/>
      <family val="0"/>
      <charset val="1"/>
    </font>
    <font>
      <b val="true"/>
      <sz val="14"/>
      <color rgb="FF000000"/>
      <name val="Courier New"/>
      <family val="0"/>
      <charset val="1"/>
    </font>
    <font>
      <b val="true"/>
      <sz val="12"/>
      <color rgb="FF000000"/>
      <name val="Courier New"/>
      <family val="0"/>
      <charset val="1"/>
    </font>
    <font>
      <sz val="12"/>
      <color rgb="FF000000"/>
      <name val="Courier New"/>
      <family val="0"/>
      <charset val="1"/>
    </font>
    <font>
      <sz val="10"/>
      <color rgb="FF000000"/>
      <name val="Times New Roman"/>
      <family val="0"/>
      <charset val="1"/>
    </font>
    <font>
      <b val="true"/>
      <u val="single"/>
      <sz val="14"/>
      <color rgb="FF000000"/>
      <name val="Courier New"/>
      <family val="0"/>
      <charset val="1"/>
    </font>
    <font>
      <b val="true"/>
      <u val="single"/>
      <sz val="20"/>
      <color rgb="FF000000"/>
      <name val="Courier New"/>
      <family val="0"/>
      <charset val="1"/>
    </font>
    <font>
      <b val="true"/>
      <sz val="10"/>
      <color rgb="FF000000"/>
      <name val="Courier New"/>
      <family val="0"/>
      <charset val="1"/>
    </font>
    <font>
      <sz val="9"/>
      <color rgb="FF000000"/>
      <name val="Courier New"/>
      <family val="0"/>
      <charset val="1"/>
    </font>
    <font>
      <i val="true"/>
      <sz val="10"/>
      <color rgb="FF000000"/>
      <name val="Courier New"/>
      <family val="0"/>
      <charset val="1"/>
    </font>
    <font>
      <b val="true"/>
      <i val="true"/>
      <sz val="10"/>
      <color rgb="FF000000"/>
      <name val="Courier New"/>
      <family val="0"/>
      <charset val="1"/>
    </font>
    <font>
      <sz val="13"/>
      <color rgb="FF757575"/>
      <name val="Arial"/>
      <family val="2"/>
    </font>
    <font>
      <sz val="10"/>
      <color rgb="FF000000"/>
      <name val="Arial"/>
      <family val="2"/>
    </font>
    <font>
      <b val="true"/>
      <sz val="11"/>
      <color rgb="FF000000"/>
      <name val="Courier New"/>
      <family val="0"/>
      <charset val="1"/>
    </font>
    <font>
      <sz val="11"/>
      <color rgb="FF000000"/>
      <name val="Courier New"/>
      <family val="0"/>
      <charset val="1"/>
    </font>
    <font>
      <b val="true"/>
      <sz val="11"/>
      <color rgb="FF000000"/>
      <name val="Calibri"/>
      <family val="0"/>
      <charset val="1"/>
    </font>
    <font>
      <b val="true"/>
      <sz val="10"/>
      <color rgb="FFFF0000"/>
      <name val="Courier New"/>
      <family val="0"/>
      <charset val="1"/>
    </font>
    <font>
      <sz val="10"/>
      <color rgb="FFFF0000"/>
      <name val="Courier New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D7"/>
      </patternFill>
    </fill>
    <fill>
      <patternFill patternType="solid">
        <fgColor rgb="FF2AA47C"/>
        <bgColor rgb="FF008080"/>
      </patternFill>
    </fill>
    <fill>
      <patternFill patternType="solid">
        <fgColor rgb="FFA0D3BB"/>
        <bgColor rgb="FFB7B7B7"/>
      </patternFill>
    </fill>
    <fill>
      <patternFill patternType="solid">
        <fgColor rgb="FFD4E9E4"/>
        <bgColor rgb="FFDEE6EF"/>
      </patternFill>
    </fill>
    <fill>
      <patternFill patternType="solid">
        <fgColor rgb="FFFFFFD7"/>
        <bgColor rgb="FFEAFFE9"/>
      </patternFill>
    </fill>
    <fill>
      <patternFill patternType="solid">
        <fgColor rgb="FFEAFFE9"/>
        <bgColor rgb="FFFFFFD7"/>
      </patternFill>
    </fill>
    <fill>
      <patternFill patternType="solid">
        <fgColor rgb="FFDDDDDD"/>
        <bgColor rgb="FFD9D9D9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1" fontId="1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3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4" fontId="1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3" fontId="1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3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2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2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2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3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3" fontId="12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2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4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2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4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2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5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4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5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6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5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5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5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2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2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2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3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2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2" fillId="3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3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7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3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12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2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7" fontId="12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12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7" fontId="4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2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12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7" fontId="12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2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12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7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8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9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6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3" fontId="4" fillId="6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19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9" fillId="6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1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9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9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3" fontId="1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1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7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2" fillId="7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8" fillId="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2" fillId="7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80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82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2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3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8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8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8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4" fontId="12" fillId="8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4" fontId="12" fillId="8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3" fontId="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4" fontId="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2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83" fontId="12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4" fontId="12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ont>
        <name val="Arial"/>
        <charset val="1"/>
        <family val="0"/>
      </font>
      <fill>
        <patternFill>
          <bgColor rgb="FF96FFC8"/>
        </patternFill>
      </fill>
    </dxf>
    <dxf>
      <font>
        <name val="Arial"/>
        <charset val="1"/>
        <family val="0"/>
      </font>
      <fill>
        <patternFill>
          <bgColor rgb="FFFF96C8"/>
        </patternFill>
      </fill>
    </dxf>
    <dxf>
      <font>
        <name val="Arial"/>
        <charset val="1"/>
        <family val="0"/>
        <color rgb="FFFF0000"/>
      </font>
      <fill>
        <patternFill>
          <bgColor rgb="00FFFFFF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name val="Arial"/>
        <charset val="1"/>
        <family val="0"/>
        <color rgb="FF008000"/>
      </font>
      <fill>
        <patternFill>
          <bgColor rgb="00FFFFFF"/>
        </patternFill>
      </fill>
      <border diagonalUp="false" diagonalDown="false">
        <left style="thin"/>
        <right style="thin"/>
        <top style="thin"/>
        <bottom style="thin"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757575"/>
      <rgbColor rgb="FF9999FF"/>
      <rgbColor rgb="FF993366"/>
      <rgbColor rgb="FFFFFFD7"/>
      <rgbColor rgb="FFEAFFE9"/>
      <rgbColor rgb="FF660066"/>
      <rgbColor rgb="FFFF6D6D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6EF"/>
      <rgbColor rgb="FFD4E9E4"/>
      <rgbColor rgb="FFD4EA6B"/>
      <rgbColor rgb="FFA0D3BB"/>
      <rgbColor rgb="FFFF96C8"/>
      <rgbColor rgb="FFDDDDDD"/>
      <rgbColor rgb="FFFFD7D7"/>
      <rgbColor rgb="FF3366FF"/>
      <rgbColor rgb="FF96FFC8"/>
      <rgbColor rgb="FF99CC00"/>
      <rgbColor rgb="FFFFCC00"/>
      <rgbColor rgb="FFFF8000"/>
      <rgbColor rgb="FFFF6600"/>
      <rgbColor rgb="FF666699"/>
      <rgbColor rgb="FF8B8B8B"/>
      <rgbColor rgb="FF003366"/>
      <rgbColor rgb="FF2AA47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757575"/>
                </a:solidFill>
                <a:latin typeface="Arial"/>
                <a:ea typeface="Arial"/>
              </a:defRPr>
            </a:pPr>
            <a:r>
              <a:rPr b="0" sz="1300" spc="-1" strike="noStrike">
                <a:solidFill>
                  <a:srgbClr val="757575"/>
                </a:solidFill>
                <a:latin typeface="Arial"/>
                <a:ea typeface="Arial"/>
              </a:rPr>
              <a:t>Desembolso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"PERCENTUAL"</c:f>
              <c:strCache>
                <c:ptCount val="1"/>
                <c:pt idx="0">
                  <c:v>PERCENTUAL</c:v>
                </c:pt>
              </c:strCache>
            </c:strRef>
          </c:tx>
          <c:spPr>
            <a:solidFill>
              <a:srgbClr val="2aa47c"/>
            </a:solidFill>
            <a:ln w="28440">
              <a:solidFill>
                <a:srgbClr val="2aa47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CRONOGRAMA!$R$9:$R$15</c:f>
              <c:strCach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strCache>
            </c:strRef>
          </c:cat>
          <c:val>
            <c:numRef>
              <c:f>CRONOGRAMA!$S$9:$S$15</c:f>
              <c:numCache>
                <c:formatCode>General</c:formatCode>
                <c:ptCount val="7"/>
                <c:pt idx="0">
                  <c:v>0</c:v>
                </c:pt>
                <c:pt idx="1">
                  <c:v>0.0290292928984593</c:v>
                </c:pt>
                <c:pt idx="2">
                  <c:v>0.199196590907486</c:v>
                </c:pt>
                <c:pt idx="3">
                  <c:v>0.664769302392306</c:v>
                </c:pt>
                <c:pt idx="4">
                  <c:v>0.873190383598321</c:v>
                </c:pt>
                <c:pt idx="5">
                  <c:v>0.984224091077216</c:v>
                </c:pt>
                <c:pt idx="6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99511357"/>
        <c:axId val="18574551"/>
      </c:lineChart>
      <c:catAx>
        <c:axId val="9951135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8574551"/>
        <c:crosses val="autoZero"/>
        <c:auto val="1"/>
        <c:lblAlgn val="ctr"/>
        <c:lblOffset val="100"/>
        <c:noMultiLvlLbl val="0"/>
      </c:catAx>
      <c:valAx>
        <c:axId val="18574551"/>
        <c:scaling>
          <c:orientation val="minMax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9511357"/>
        <c:crosses val="autoZero"/>
        <c:crossBetween val="between"/>
      </c:valAx>
      <c:spPr>
        <a:solidFill>
          <a:srgbClr val="ffffff"/>
        </a:solidFill>
        <a:ln w="0">
          <a:noFill/>
        </a:ln>
      </c:spPr>
    </c:plotArea>
    <c:plotVisOnly val="0"/>
    <c:dispBlanksAs val="zero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</xdr:col>
      <xdr:colOff>19080</xdr:colOff>
      <xdr:row>21</xdr:row>
      <xdr:rowOff>47520</xdr:rowOff>
    </xdr:from>
    <xdr:to>
      <xdr:col>6</xdr:col>
      <xdr:colOff>563400</xdr:colOff>
      <xdr:row>44</xdr:row>
      <xdr:rowOff>47160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121760" y="4248000"/>
          <a:ext cx="3790440" cy="4161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485640</xdr:colOff>
      <xdr:row>1</xdr:row>
      <xdr:rowOff>9360</xdr:rowOff>
    </xdr:from>
    <xdr:to>
      <xdr:col>2</xdr:col>
      <xdr:colOff>425880</xdr:colOff>
      <xdr:row>10</xdr:row>
      <xdr:rowOff>142200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485640" y="190080"/>
          <a:ext cx="1695240" cy="1761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28440</xdr:colOff>
      <xdr:row>26</xdr:row>
      <xdr:rowOff>114480</xdr:rowOff>
    </xdr:from>
    <xdr:to>
      <xdr:col>2</xdr:col>
      <xdr:colOff>1260720</xdr:colOff>
      <xdr:row>45</xdr:row>
      <xdr:rowOff>171360</xdr:rowOff>
    </xdr:to>
    <xdr:graphicFrame>
      <xdr:nvGraphicFramePr>
        <xdr:cNvPr id="2" name="Chart 1"/>
        <xdr:cNvGraphicFramePr/>
      </xdr:nvGraphicFramePr>
      <xdr:xfrm>
        <a:off x="28440" y="4819680"/>
        <a:ext cx="7714800" cy="3495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314280</xdr:colOff>
      <xdr:row>0</xdr:row>
      <xdr:rowOff>47520</xdr:rowOff>
    </xdr:from>
    <xdr:to>
      <xdr:col>2</xdr:col>
      <xdr:colOff>135720</xdr:colOff>
      <xdr:row>6</xdr:row>
      <xdr:rowOff>132840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622800" y="47520"/>
          <a:ext cx="1161720" cy="1171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19080</xdr:colOff>
      <xdr:row>0</xdr:row>
      <xdr:rowOff>123840</xdr:rowOff>
    </xdr:from>
    <xdr:to>
      <xdr:col>1</xdr:col>
      <xdr:colOff>1066320</xdr:colOff>
      <xdr:row>6</xdr:row>
      <xdr:rowOff>28440</xdr:rowOff>
    </xdr:to>
    <xdr:pic>
      <xdr:nvPicPr>
        <xdr:cNvPr id="4" name="image2.png" descr=""/>
        <xdr:cNvPicPr/>
      </xdr:nvPicPr>
      <xdr:blipFill>
        <a:blip r:embed="rId1"/>
        <a:stretch/>
      </xdr:blipFill>
      <xdr:spPr>
        <a:xfrm>
          <a:off x="327600" y="123840"/>
          <a:ext cx="1047240" cy="9903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40625" defaultRowHeight="15" zeroHeight="false" outlineLevelRow="0" outlineLevelCol="0"/>
  <cols>
    <col collapsed="false" customWidth="true" hidden="false" outlineLevel="0" max="1" min="1" style="0" width="4.13"/>
    <col collapsed="false" customWidth="true" hidden="false" outlineLevel="0" max="13" min="2" style="0" width="11.5"/>
    <col collapsed="false" customWidth="true" hidden="false" outlineLevel="0" max="14" min="14" style="0" width="18.25"/>
    <col collapsed="false" customWidth="true" hidden="false" outlineLevel="0" max="19" min="15" style="0" width="11.5"/>
    <col collapsed="false" customWidth="true" hidden="false" outlineLevel="0" max="20" min="20" style="0" width="4.13"/>
    <col collapsed="false" customWidth="true" hidden="false" outlineLevel="0" max="21" min="21" style="0" width="33.75"/>
    <col collapsed="false" customWidth="true" hidden="false" outlineLevel="0" max="26" min="22" style="0" width="8.63"/>
  </cols>
  <sheetData>
    <row r="1" customFormat="false" ht="14.2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customFormat="false" ht="14.2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4.25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customFormat="false" ht="14.25" hidden="false" customHeight="true" outlineLevel="0" collapsed="false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1"/>
      <c r="V4" s="1"/>
      <c r="W4" s="1"/>
      <c r="X4" s="1"/>
      <c r="Y4" s="1"/>
      <c r="Z4" s="1"/>
    </row>
    <row r="5" customFormat="false" ht="14.25" hidden="false" customHeight="true" outlineLevel="0" collapsed="false">
      <c r="A5" s="5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  <c r="U5" s="1"/>
      <c r="V5" s="1"/>
      <c r="W5" s="1"/>
      <c r="X5" s="1"/>
      <c r="Y5" s="1"/>
      <c r="Z5" s="1"/>
    </row>
    <row r="6" customFormat="false" ht="14.25" hidden="false" customHeight="true" outlineLevel="0" collapsed="false">
      <c r="A6" s="7"/>
      <c r="B6" s="8" t="s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9"/>
      <c r="U6" s="1"/>
      <c r="V6" s="1"/>
      <c r="W6" s="1"/>
      <c r="X6" s="1"/>
      <c r="Y6" s="1"/>
      <c r="Z6" s="1"/>
    </row>
    <row r="7" customFormat="false" ht="14.25" hidden="false" customHeight="true" outlineLevel="0" collapsed="false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9"/>
      <c r="U7" s="1"/>
      <c r="V7" s="1"/>
      <c r="W7" s="1"/>
      <c r="X7" s="1"/>
      <c r="Y7" s="1"/>
      <c r="Z7" s="1"/>
    </row>
    <row r="8" customFormat="false" ht="14.25" hidden="false" customHeight="true" outlineLevel="0" collapsed="false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9"/>
      <c r="U8" s="1"/>
      <c r="V8" s="1"/>
      <c r="W8" s="1"/>
      <c r="X8" s="1"/>
      <c r="Y8" s="1"/>
      <c r="Z8" s="1"/>
    </row>
    <row r="9" customFormat="false" ht="14.25" hidden="false" customHeight="true" outlineLevel="0" collapsed="false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9"/>
      <c r="U9" s="1"/>
      <c r="V9" s="1"/>
      <c r="W9" s="1"/>
      <c r="X9" s="1"/>
      <c r="Y9" s="1"/>
      <c r="Z9" s="1"/>
    </row>
    <row r="10" customFormat="false" ht="14.25" hidden="false" customHeight="true" outlineLevel="0" collapsed="false">
      <c r="A10" s="7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1"/>
      <c r="V10" s="1"/>
      <c r="W10" s="1"/>
      <c r="X10" s="1"/>
      <c r="Y10" s="1"/>
      <c r="Z10" s="1"/>
    </row>
    <row r="11" customFormat="false" ht="18.75" hidden="false" customHeight="true" outlineLevel="0" collapsed="false">
      <c r="A11" s="7"/>
      <c r="B11" s="10" t="s">
        <v>1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 t="s">
        <v>2</v>
      </c>
      <c r="O11" s="1"/>
      <c r="P11" s="1"/>
      <c r="Q11" s="1"/>
      <c r="R11" s="1"/>
      <c r="S11" s="1"/>
      <c r="T11" s="9"/>
      <c r="U11" s="1"/>
      <c r="V11" s="1"/>
      <c r="W11" s="1"/>
      <c r="X11" s="1"/>
      <c r="Y11" s="1"/>
      <c r="Z11" s="1"/>
    </row>
    <row r="12" customFormat="false" ht="18.75" hidden="false" customHeight="true" outlineLevel="0" collapsed="false">
      <c r="A12" s="7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2"/>
      <c r="O12" s="1"/>
      <c r="P12" s="1"/>
      <c r="Q12" s="1"/>
      <c r="R12" s="1"/>
      <c r="S12" s="1"/>
      <c r="T12" s="9"/>
      <c r="U12" s="1"/>
      <c r="V12" s="1"/>
      <c r="W12" s="1"/>
      <c r="X12" s="1"/>
      <c r="Y12" s="1"/>
      <c r="Z12" s="1"/>
    </row>
    <row r="13" customFormat="false" ht="18.75" hidden="false" customHeight="true" outlineLevel="0" collapsed="false">
      <c r="A13" s="7"/>
      <c r="B13" s="10" t="s">
        <v>3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1" t="s">
        <v>4</v>
      </c>
      <c r="O13" s="13" t="s">
        <v>5</v>
      </c>
      <c r="P13" s="13"/>
      <c r="Q13" s="13"/>
      <c r="R13" s="13"/>
      <c r="S13" s="13"/>
      <c r="T13" s="9"/>
      <c r="U13" s="14"/>
      <c r="V13" s="1"/>
      <c r="W13" s="1"/>
      <c r="X13" s="1"/>
      <c r="Y13" s="1"/>
      <c r="Z13" s="1"/>
    </row>
    <row r="14" customFormat="false" ht="18.75" hidden="false" customHeight="true" outlineLevel="0" collapsed="false">
      <c r="A14" s="7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1" t="s">
        <v>6</v>
      </c>
      <c r="O14" s="15" t="n">
        <v>2929.95</v>
      </c>
      <c r="P14" s="15"/>
      <c r="Q14" s="15"/>
      <c r="R14" s="15"/>
      <c r="S14" s="15"/>
      <c r="T14" s="9"/>
      <c r="U14" s="1"/>
      <c r="V14" s="1"/>
      <c r="W14" s="1"/>
      <c r="X14" s="1"/>
      <c r="Y14" s="1"/>
      <c r="Z14" s="1"/>
    </row>
    <row r="15" customFormat="false" ht="18.75" hidden="false" customHeight="true" outlineLevel="0" collapsed="false">
      <c r="A15" s="7"/>
      <c r="B15" s="10" t="s">
        <v>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1" t="s">
        <v>8</v>
      </c>
      <c r="O15" s="16" t="n">
        <f aca="false">O16/O14</f>
        <v>123.214658953225</v>
      </c>
      <c r="P15" s="16"/>
      <c r="Q15" s="16"/>
      <c r="R15" s="16"/>
      <c r="S15" s="16"/>
      <c r="T15" s="9"/>
      <c r="U15" s="1"/>
      <c r="V15" s="1"/>
      <c r="W15" s="1"/>
      <c r="X15" s="1"/>
      <c r="Y15" s="1"/>
      <c r="Z15" s="1"/>
    </row>
    <row r="16" customFormat="false" ht="18.75" hidden="false" customHeight="true" outlineLevel="0" collapsed="false">
      <c r="A16" s="7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1" t="s">
        <v>9</v>
      </c>
      <c r="O16" s="17" t="n">
        <f aca="false">ORCAMENTO!O242</f>
        <v>361012.79</v>
      </c>
      <c r="P16" s="17"/>
      <c r="Q16" s="17"/>
      <c r="R16" s="17"/>
      <c r="S16" s="17"/>
      <c r="T16" s="9"/>
      <c r="U16" s="1"/>
      <c r="V16" s="1"/>
      <c r="W16" s="1"/>
      <c r="X16" s="1"/>
      <c r="Y16" s="1"/>
      <c r="Z16" s="1"/>
    </row>
    <row r="17" customFormat="false" ht="18.75" hidden="false" customHeight="true" outlineLevel="0" collapsed="false">
      <c r="A17" s="7"/>
      <c r="B17" s="10" t="s">
        <v>10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"/>
      <c r="O17" s="1"/>
      <c r="P17" s="1"/>
      <c r="Q17" s="1"/>
      <c r="R17" s="1"/>
      <c r="S17" s="1"/>
      <c r="T17" s="9"/>
      <c r="U17" s="1"/>
      <c r="V17" s="1"/>
      <c r="W17" s="1"/>
      <c r="X17" s="1"/>
      <c r="Y17" s="1"/>
      <c r="Z17" s="1"/>
    </row>
    <row r="18" customFormat="false" ht="14.25" hidden="false" customHeight="true" outlineLevel="0" collapsed="false">
      <c r="A18" s="7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9"/>
      <c r="U18" s="1"/>
      <c r="V18" s="1"/>
      <c r="W18" s="1"/>
      <c r="X18" s="1"/>
      <c r="Y18" s="1"/>
      <c r="Z18" s="1"/>
    </row>
    <row r="19" customFormat="false" ht="14.25" hidden="false" customHeight="true" outlineLevel="0" collapsed="false">
      <c r="A19" s="7"/>
      <c r="B19" s="18" t="s">
        <v>11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9"/>
      <c r="U19" s="1"/>
      <c r="V19" s="1"/>
      <c r="W19" s="1"/>
      <c r="X19" s="1"/>
      <c r="Y19" s="1"/>
      <c r="Z19" s="1"/>
    </row>
    <row r="20" customFormat="false" ht="14.25" hidden="false" customHeight="true" outlineLevel="0" collapsed="false">
      <c r="A20" s="7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9"/>
      <c r="U20" s="1"/>
      <c r="V20" s="1"/>
      <c r="W20" s="1"/>
      <c r="X20" s="1"/>
      <c r="Y20" s="1"/>
      <c r="Z20" s="1"/>
    </row>
    <row r="21" customFormat="false" ht="14.25" hidden="false" customHeight="true" outlineLevel="0" collapsed="false">
      <c r="A21" s="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9"/>
      <c r="U21" s="1"/>
      <c r="V21" s="1"/>
      <c r="W21" s="1"/>
      <c r="X21" s="1"/>
      <c r="Y21" s="1"/>
      <c r="Z21" s="1"/>
    </row>
    <row r="22" customFormat="false" ht="14.25" hidden="false" customHeight="true" outlineLevel="0" collapsed="false">
      <c r="A22" s="7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9"/>
      <c r="U22" s="1"/>
      <c r="V22" s="1"/>
      <c r="W22" s="1"/>
      <c r="X22" s="1"/>
      <c r="Y22" s="1"/>
      <c r="Z22" s="1"/>
    </row>
    <row r="23" customFormat="false" ht="14.25" hidden="false" customHeight="true" outlineLevel="0" collapsed="false">
      <c r="A23" s="7"/>
      <c r="B23" s="19"/>
      <c r="C23" s="1"/>
      <c r="D23" s="1"/>
      <c r="E23" s="1"/>
      <c r="F23" s="1"/>
      <c r="G23" s="19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9"/>
      <c r="U23" s="1"/>
      <c r="V23" s="1"/>
      <c r="W23" s="1"/>
      <c r="X23" s="1"/>
      <c r="Y23" s="1"/>
      <c r="Z23" s="1"/>
    </row>
    <row r="24" customFormat="false" ht="14.25" hidden="false" customHeight="true" outlineLevel="0" collapsed="false">
      <c r="A24" s="7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9"/>
      <c r="U24" s="1"/>
      <c r="V24" s="1"/>
      <c r="W24" s="1"/>
      <c r="X24" s="1"/>
      <c r="Y24" s="1"/>
      <c r="Z24" s="1"/>
    </row>
    <row r="25" customFormat="false" ht="14.25" hidden="false" customHeight="true" outlineLevel="0" collapsed="false">
      <c r="A25" s="7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9"/>
      <c r="U25" s="1"/>
      <c r="V25" s="1"/>
      <c r="W25" s="1"/>
      <c r="X25" s="1"/>
      <c r="Y25" s="1"/>
      <c r="Z25" s="1"/>
    </row>
    <row r="26" customFormat="false" ht="14.25" hidden="false" customHeight="true" outlineLevel="0" collapsed="false">
      <c r="A26" s="7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9"/>
      <c r="U26" s="1"/>
      <c r="V26" s="1"/>
      <c r="W26" s="1"/>
      <c r="X26" s="1"/>
      <c r="Y26" s="1"/>
      <c r="Z26" s="1"/>
    </row>
    <row r="27" customFormat="false" ht="14.25" hidden="false" customHeight="true" outlineLevel="0" collapsed="false">
      <c r="A27" s="7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9"/>
      <c r="U27" s="1"/>
      <c r="V27" s="1"/>
      <c r="W27" s="1"/>
      <c r="X27" s="1"/>
      <c r="Y27" s="1"/>
      <c r="Z27" s="1"/>
    </row>
    <row r="28" customFormat="false" ht="14.25" hidden="false" customHeight="true" outlineLevel="0" collapsed="false">
      <c r="A28" s="7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9"/>
      <c r="U28" s="1"/>
      <c r="V28" s="1"/>
      <c r="W28" s="1"/>
      <c r="X28" s="1"/>
      <c r="Y28" s="1"/>
      <c r="Z28" s="1"/>
    </row>
    <row r="29" customFormat="false" ht="14.25" hidden="false" customHeight="true" outlineLevel="0" collapsed="false">
      <c r="A29" s="7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9"/>
      <c r="U29" s="1"/>
      <c r="V29" s="1"/>
      <c r="W29" s="1"/>
      <c r="X29" s="1"/>
      <c r="Y29" s="1"/>
      <c r="Z29" s="1"/>
    </row>
    <row r="30" customFormat="false" ht="14.25" hidden="false" customHeight="true" outlineLevel="0" collapsed="false">
      <c r="A30" s="7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9"/>
      <c r="U30" s="1"/>
      <c r="V30" s="1"/>
      <c r="W30" s="1"/>
      <c r="X30" s="1"/>
      <c r="Y30" s="1"/>
      <c r="Z30" s="1"/>
    </row>
    <row r="31" customFormat="false" ht="14.25" hidden="false" customHeight="true" outlineLevel="0" collapsed="false">
      <c r="A31" s="7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9"/>
      <c r="U31" s="1"/>
      <c r="V31" s="1"/>
      <c r="W31" s="1"/>
      <c r="X31" s="1"/>
      <c r="Y31" s="1"/>
      <c r="Z31" s="1"/>
    </row>
    <row r="32" customFormat="false" ht="14.25" hidden="false" customHeight="true" outlineLevel="0" collapsed="false">
      <c r="A32" s="7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9"/>
      <c r="U32" s="1"/>
      <c r="V32" s="1"/>
      <c r="W32" s="1"/>
      <c r="X32" s="1"/>
      <c r="Y32" s="1"/>
      <c r="Z32" s="1"/>
    </row>
    <row r="33" customFormat="false" ht="14.25" hidden="false" customHeight="true" outlineLevel="0" collapsed="false">
      <c r="A33" s="7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9"/>
      <c r="U33" s="1"/>
      <c r="V33" s="1"/>
      <c r="W33" s="1"/>
      <c r="X33" s="1"/>
      <c r="Y33" s="1"/>
      <c r="Z33" s="1"/>
    </row>
    <row r="34" customFormat="false" ht="14.25" hidden="false" customHeight="true" outlineLevel="0" collapsed="false">
      <c r="A34" s="7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9"/>
      <c r="U34" s="1"/>
      <c r="V34" s="1"/>
      <c r="W34" s="1"/>
      <c r="X34" s="1"/>
      <c r="Y34" s="1"/>
      <c r="Z34" s="1"/>
    </row>
    <row r="35" customFormat="false" ht="14.25" hidden="false" customHeight="true" outlineLevel="0" collapsed="false">
      <c r="A35" s="7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9"/>
      <c r="U35" s="1"/>
      <c r="V35" s="1"/>
      <c r="W35" s="1"/>
      <c r="X35" s="1"/>
      <c r="Y35" s="1"/>
      <c r="Z35" s="1"/>
    </row>
    <row r="36" customFormat="false" ht="14.25" hidden="false" customHeight="true" outlineLevel="0" collapsed="false">
      <c r="A36" s="7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9"/>
      <c r="U36" s="1"/>
      <c r="V36" s="1"/>
      <c r="W36" s="1"/>
      <c r="X36" s="1"/>
      <c r="Y36" s="1"/>
      <c r="Z36" s="1"/>
    </row>
    <row r="37" customFormat="false" ht="14.25" hidden="false" customHeight="true" outlineLevel="0" collapsed="false">
      <c r="A37" s="7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9"/>
      <c r="U37" s="1"/>
      <c r="V37" s="1"/>
      <c r="W37" s="1"/>
      <c r="X37" s="1"/>
      <c r="Y37" s="1"/>
      <c r="Z37" s="1"/>
    </row>
    <row r="38" customFormat="false" ht="14.25" hidden="false" customHeight="true" outlineLevel="0" collapsed="false">
      <c r="A38" s="7"/>
      <c r="B38" s="1"/>
      <c r="C38" s="1"/>
      <c r="D38" s="1"/>
      <c r="E38" s="1"/>
      <c r="F38" s="1"/>
      <c r="G38" s="1"/>
      <c r="H38" s="1"/>
      <c r="I38" s="1"/>
      <c r="J38" s="1"/>
      <c r="K38" s="20"/>
      <c r="L38" s="1"/>
      <c r="M38" s="1"/>
      <c r="N38" s="1"/>
      <c r="O38" s="1"/>
      <c r="P38" s="1"/>
      <c r="Q38" s="1"/>
      <c r="R38" s="1"/>
      <c r="S38" s="1"/>
      <c r="T38" s="9"/>
      <c r="U38" s="1"/>
      <c r="V38" s="1"/>
      <c r="W38" s="1"/>
      <c r="X38" s="1"/>
      <c r="Y38" s="1"/>
      <c r="Z38" s="1"/>
    </row>
    <row r="39" customFormat="false" ht="14.25" hidden="false" customHeight="true" outlineLevel="0" collapsed="false">
      <c r="A39" s="7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9"/>
      <c r="U39" s="1"/>
      <c r="V39" s="1"/>
      <c r="W39" s="1"/>
      <c r="X39" s="1"/>
      <c r="Y39" s="1"/>
      <c r="Z39" s="1"/>
    </row>
    <row r="40" customFormat="false" ht="14.25" hidden="false" customHeight="true" outlineLevel="0" collapsed="false">
      <c r="A40" s="7"/>
      <c r="B40" s="1"/>
      <c r="C40" s="1"/>
      <c r="D40" s="1"/>
      <c r="E40" s="1"/>
      <c r="F40" s="1"/>
      <c r="G40" s="1"/>
      <c r="H40" s="1"/>
      <c r="I40" s="1"/>
      <c r="J40" s="1"/>
      <c r="K40" s="20"/>
      <c r="L40" s="21"/>
      <c r="M40" s="21"/>
      <c r="N40" s="21"/>
      <c r="O40" s="21"/>
      <c r="P40" s="21"/>
      <c r="Q40" s="21"/>
      <c r="R40" s="21"/>
      <c r="S40" s="21"/>
      <c r="T40" s="9"/>
      <c r="U40" s="1"/>
      <c r="V40" s="1"/>
      <c r="W40" s="1"/>
      <c r="X40" s="1"/>
      <c r="Y40" s="1"/>
      <c r="Z40" s="1"/>
    </row>
    <row r="41" customFormat="false" ht="14.25" hidden="false" customHeight="true" outlineLevel="0" collapsed="false">
      <c r="A41" s="7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9"/>
      <c r="U41" s="1"/>
      <c r="V41" s="1"/>
      <c r="W41" s="1"/>
      <c r="X41" s="1"/>
      <c r="Y41" s="1"/>
      <c r="Z41" s="1"/>
    </row>
    <row r="42" customFormat="false" ht="14.25" hidden="false" customHeight="true" outlineLevel="0" collapsed="false">
      <c r="A42" s="7"/>
      <c r="B42" s="1"/>
      <c r="C42" s="1"/>
      <c r="D42" s="1"/>
      <c r="E42" s="1"/>
      <c r="F42" s="1"/>
      <c r="G42" s="1"/>
      <c r="H42" s="1"/>
      <c r="I42" s="1"/>
      <c r="J42" s="1"/>
      <c r="K42" s="22"/>
      <c r="L42" s="1"/>
      <c r="M42" s="1"/>
      <c r="N42" s="1"/>
      <c r="O42" s="1"/>
      <c r="P42" s="1"/>
      <c r="Q42" s="1"/>
      <c r="R42" s="1"/>
      <c r="S42" s="1"/>
      <c r="T42" s="9"/>
      <c r="U42" s="1"/>
      <c r="V42" s="1"/>
      <c r="W42" s="1"/>
      <c r="X42" s="1"/>
      <c r="Y42" s="1"/>
      <c r="Z42" s="1"/>
    </row>
    <row r="43" customFormat="false" ht="14.25" hidden="false" customHeight="true" outlineLevel="0" collapsed="false">
      <c r="A43" s="7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9"/>
      <c r="U43" s="1"/>
      <c r="V43" s="1"/>
      <c r="W43" s="1"/>
      <c r="X43" s="1"/>
      <c r="Y43" s="1"/>
      <c r="Z43" s="1"/>
    </row>
    <row r="44" customFormat="false" ht="14.25" hidden="false" customHeight="true" outlineLevel="0" collapsed="false">
      <c r="A44" s="7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9"/>
      <c r="U44" s="1"/>
      <c r="V44" s="1"/>
      <c r="W44" s="1"/>
      <c r="X44" s="1"/>
      <c r="Y44" s="1"/>
      <c r="Z44" s="1"/>
    </row>
    <row r="45" customFormat="false" ht="14.25" hidden="false" customHeight="true" outlineLevel="0" collapsed="false">
      <c r="A45" s="7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9"/>
      <c r="U45" s="1"/>
      <c r="V45" s="1"/>
      <c r="W45" s="1"/>
      <c r="X45" s="1"/>
      <c r="Y45" s="1"/>
      <c r="Z45" s="1"/>
    </row>
    <row r="46" customFormat="false" ht="14.25" hidden="false" customHeight="true" outlineLevel="0" collapsed="false">
      <c r="A46" s="7"/>
      <c r="B46" s="1"/>
      <c r="C46" s="1" t="s">
        <v>12</v>
      </c>
      <c r="D46" s="23" t="n">
        <f aca="true">TODAY()</f>
        <v>45187</v>
      </c>
      <c r="E46" s="23"/>
      <c r="F46" s="23"/>
      <c r="G46" s="23"/>
      <c r="H46" s="2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9"/>
      <c r="U46" s="1"/>
      <c r="V46" s="1"/>
      <c r="W46" s="1"/>
      <c r="X46" s="1"/>
      <c r="Y46" s="1"/>
      <c r="Z46" s="1"/>
    </row>
    <row r="47" customFormat="false" ht="14.25" hidden="false" customHeight="true" outlineLevel="0" collapsed="false">
      <c r="A47" s="7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 t="s">
        <v>13</v>
      </c>
      <c r="Q47" s="1"/>
      <c r="R47" s="1"/>
      <c r="S47" s="1"/>
      <c r="T47" s="9"/>
      <c r="U47" s="1"/>
      <c r="V47" s="1"/>
      <c r="W47" s="1"/>
      <c r="X47" s="1"/>
      <c r="Y47" s="1"/>
      <c r="Z47" s="1"/>
    </row>
    <row r="48" customFormat="false" ht="14.25" hidden="false" customHeight="true" outlineLevel="0" collapsed="false">
      <c r="A48" s="7"/>
      <c r="B48" s="1"/>
      <c r="C48" s="1" t="s">
        <v>14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9"/>
      <c r="U48" s="1"/>
      <c r="V48" s="1"/>
      <c r="W48" s="1"/>
      <c r="X48" s="1"/>
      <c r="Y48" s="1"/>
      <c r="Z48" s="1"/>
    </row>
    <row r="49" customFormat="false" ht="14.25" hidden="false" customHeight="true" outlineLevel="0" collapsed="false">
      <c r="A49" s="7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9"/>
      <c r="U49" s="1"/>
      <c r="V49" s="1"/>
      <c r="W49" s="1"/>
      <c r="X49" s="1"/>
      <c r="Y49" s="1"/>
      <c r="Z49" s="1"/>
    </row>
    <row r="50" customFormat="false" ht="14.25" hidden="false" customHeight="true" outlineLevel="0" collapsed="false">
      <c r="A50" s="7"/>
      <c r="B50" s="1"/>
      <c r="C50" s="1" t="s">
        <v>15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 t="s">
        <v>15</v>
      </c>
      <c r="Q50" s="1"/>
      <c r="R50" s="1"/>
      <c r="S50" s="1"/>
      <c r="T50" s="9"/>
      <c r="U50" s="1"/>
      <c r="V50" s="1"/>
      <c r="W50" s="1"/>
      <c r="X50" s="1"/>
      <c r="Y50" s="1"/>
      <c r="Z50" s="1"/>
    </row>
    <row r="51" customFormat="false" ht="14.25" hidden="false" customHeight="true" outlineLevel="0" collapsed="false">
      <c r="A51" s="7"/>
      <c r="B51" s="1"/>
      <c r="C51" s="1" t="s">
        <v>16</v>
      </c>
      <c r="D51" s="1"/>
      <c r="E51" s="1"/>
      <c r="F51" s="1"/>
      <c r="G51" s="1"/>
      <c r="H51" s="1"/>
      <c r="I51" s="24"/>
      <c r="J51" s="1"/>
      <c r="K51" s="1"/>
      <c r="L51" s="24"/>
      <c r="M51" s="1"/>
      <c r="N51" s="1"/>
      <c r="O51" s="1"/>
      <c r="P51" s="24" t="s">
        <v>17</v>
      </c>
      <c r="Q51" s="1"/>
      <c r="R51" s="1"/>
      <c r="S51" s="1"/>
      <c r="T51" s="9"/>
      <c r="U51" s="1"/>
      <c r="V51" s="1"/>
      <c r="W51" s="1"/>
      <c r="X51" s="1"/>
      <c r="Y51" s="1"/>
      <c r="Z51" s="1"/>
    </row>
    <row r="52" customFormat="false" ht="14.25" hidden="false" customHeight="true" outlineLevel="0" collapsed="false">
      <c r="A52" s="5"/>
      <c r="B52" s="1"/>
      <c r="C52" s="1" t="s">
        <v>18</v>
      </c>
      <c r="D52" s="1"/>
      <c r="E52" s="1"/>
      <c r="F52" s="1"/>
      <c r="G52" s="1"/>
      <c r="H52" s="1"/>
      <c r="I52" s="24"/>
      <c r="J52" s="1"/>
      <c r="K52" s="1"/>
      <c r="L52" s="24"/>
      <c r="M52" s="1"/>
      <c r="N52" s="1"/>
      <c r="O52" s="1"/>
      <c r="P52" s="24" t="s">
        <v>19</v>
      </c>
      <c r="Q52" s="1"/>
      <c r="R52" s="1"/>
      <c r="S52" s="1"/>
      <c r="T52" s="6"/>
      <c r="U52" s="1"/>
      <c r="V52" s="1"/>
      <c r="W52" s="1"/>
      <c r="X52" s="1"/>
      <c r="Y52" s="1"/>
      <c r="Z52" s="1"/>
    </row>
    <row r="53" customFormat="false" ht="14.25" hidden="false" customHeight="true" outlineLevel="0" collapsed="false">
      <c r="A53" s="5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6"/>
      <c r="U53" s="1"/>
      <c r="V53" s="1"/>
      <c r="W53" s="1"/>
      <c r="X53" s="1"/>
      <c r="Y53" s="1"/>
      <c r="Z53" s="1"/>
    </row>
    <row r="54" customFormat="false" ht="14.25" hidden="false" customHeight="true" outlineLevel="0" collapsed="false">
      <c r="A54" s="25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7"/>
      <c r="U54" s="1"/>
      <c r="V54" s="1"/>
      <c r="W54" s="1"/>
      <c r="X54" s="1"/>
      <c r="Y54" s="1"/>
      <c r="Z54" s="1"/>
    </row>
    <row r="55" customFormat="false" ht="14.25" hidden="false" customHeight="true" outlineLevel="0" collapsed="false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customFormat="false" ht="14.25" hidden="false" customHeight="true" outlineLevel="0" collapsed="false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customFormat="false" ht="14.25" hidden="false" customHeight="true" outlineLevel="0" collapsed="false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customFormat="false" ht="14.25" hidden="false" customHeight="true" outlineLevel="0" collapsed="false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customFormat="false" ht="14.25" hidden="false" customHeight="true" outlineLevel="0" collapsed="false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customFormat="false" ht="14.25" hidden="false" customHeight="true" outlineLevel="0" collapsed="false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customFormat="false" ht="14.25" hidden="false" customHeight="true" outlineLevel="0" collapsed="false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customFormat="false" ht="14.25" hidden="false" customHeight="true" outlineLevel="0" collapsed="false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customFormat="false" ht="14.25" hidden="false" customHeight="true" outlineLevel="0" collapsed="false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customFormat="false" ht="14.25" hidden="false" customHeight="true" outlineLevel="0" collapsed="false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customFormat="false" ht="14.25" hidden="false" customHeight="true" outlineLevel="0" collapsed="false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customFormat="false" ht="14.25" hidden="false" customHeight="true" outlineLevel="0" collapsed="false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customFormat="false" ht="14.25" hidden="false" customHeight="true" outlineLevel="0" collapsed="false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customFormat="false" ht="14.25" hidden="false" customHeight="true" outlineLevel="0" collapsed="false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customFormat="false" ht="14.25" hidden="false" customHeight="true" outlineLevel="0" collapsed="false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customFormat="false" ht="14.25" hidden="false" customHeight="true" outlineLevel="0" collapsed="false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customFormat="false" ht="14.25" hidden="false" customHeight="true" outlineLevel="0" collapsed="false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customFormat="false" ht="14.25" hidden="false" customHeight="true" outlineLevel="0" collapsed="false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customFormat="false" ht="14.25" hidden="false" customHeight="true" outlineLevel="0" collapsed="false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customFormat="false" ht="14.25" hidden="false" customHeight="true" outlineLevel="0" collapsed="false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customFormat="false" ht="14.25" hidden="false" customHeight="true" outlineLevel="0" collapsed="false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customFormat="false" ht="14.25" hidden="false" customHeight="true" outlineLevel="0" collapsed="false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customFormat="false" ht="14.25" hidden="false" customHeight="true" outlineLevel="0" collapsed="false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customFormat="false" ht="14.25" hidden="false" customHeight="true" outlineLevel="0" collapsed="false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customFormat="false" ht="14.25" hidden="false" customHeight="true" outlineLevel="0" collapsed="false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customFormat="false" ht="14.25" hidden="false" customHeight="true" outlineLevel="0" collapsed="false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customFormat="false" ht="14.25" hidden="false" customHeight="true" outlineLevel="0" collapsed="false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customFormat="false" ht="14.25" hidden="false" customHeight="true" outlineLevel="0" collapsed="false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customFormat="false" ht="14.25" hidden="false" customHeight="true" outlineLevel="0" collapsed="false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customFormat="false" ht="14.25" hidden="false" customHeight="true" outlineLevel="0" collapsed="false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customFormat="false" ht="14.25" hidden="false" customHeight="true" outlineLevel="0" collapsed="false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customFormat="false" ht="14.25" hidden="false" customHeight="true" outlineLevel="0" collapsed="false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customFormat="false" ht="14.25" hidden="false" customHeight="true" outlineLevel="0" collapsed="false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customFormat="false" ht="14.25" hidden="false" customHeight="true" outlineLevel="0" collapsed="false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customFormat="false" ht="14.25" hidden="false" customHeight="true" outlineLevel="0" collapsed="false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customFormat="false" ht="14.25" hidden="false" customHeight="true" outlineLevel="0" collapsed="false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customFormat="false" ht="14.25" hidden="false" customHeight="true" outlineLevel="0" collapsed="false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customFormat="false" ht="14.25" hidden="false" customHeight="true" outlineLevel="0" collapsed="false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customFormat="false" ht="14.25" hidden="false" customHeight="true" outlineLevel="0" collapsed="false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customFormat="false" ht="14.25" hidden="false" customHeight="true" outlineLevel="0" collapsed="false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customFormat="false" ht="14.25" hidden="false" customHeight="true" outlineLevel="0" collapsed="false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customFormat="false" ht="14.25" hidden="false" customHeight="true" outlineLevel="0" collapsed="false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customFormat="false" ht="14.25" hidden="false" customHeight="true" outlineLevel="0" collapsed="false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customFormat="false" ht="14.25" hidden="false" customHeight="true" outlineLevel="0" collapsed="false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customFormat="false" ht="14.25" hidden="false" customHeight="true" outlineLevel="0" collapsed="false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customFormat="false" ht="14.25" hidden="false" customHeight="true" outlineLevel="0" collapsed="false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customFormat="false" ht="14.25" hidden="false" customHeight="true" outlineLevel="0" collapsed="false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customFormat="false" ht="14.25" hidden="false" customHeight="true" outlineLevel="0" collapsed="false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customFormat="false" ht="14.25" hidden="false" customHeight="true" outlineLevel="0" collapsed="false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customFormat="false" ht="14.25" hidden="false" customHeight="true" outlineLevel="0" collapsed="false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customFormat="false" ht="14.25" hidden="false" customHeight="true" outlineLevel="0" collapsed="false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customFormat="false" ht="14.25" hidden="false" customHeight="true" outlineLevel="0" collapsed="false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customFormat="false" ht="14.25" hidden="false" customHeight="true" outlineLevel="0" collapsed="false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customFormat="false" ht="14.25" hidden="false" customHeight="true" outlineLevel="0" collapsed="false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customFormat="false" ht="14.25" hidden="false" customHeight="true" outlineLevel="0" collapsed="false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customFormat="false" ht="14.25" hidden="false" customHeight="true" outlineLevel="0" collapsed="false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customFormat="false" ht="14.25" hidden="false" customHeight="true" outlineLevel="0" collapsed="false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customFormat="false" ht="14.25" hidden="false" customHeight="true" outlineLevel="0" collapsed="false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customFormat="false" ht="14.25" hidden="false" customHeight="true" outlineLevel="0" collapsed="false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customFormat="false" ht="14.25" hidden="false" customHeight="true" outlineLevel="0" collapsed="false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customFormat="false" ht="14.25" hidden="false" customHeight="true" outlineLevel="0" collapsed="false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customFormat="false" ht="14.25" hidden="false" customHeight="true" outlineLevel="0" collapsed="false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customFormat="false" ht="14.25" hidden="false" customHeight="true" outlineLevel="0" collapsed="false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customFormat="false" ht="14.25" hidden="false" customHeight="true" outlineLevel="0" collapsed="false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customFormat="false" ht="14.25" hidden="false" customHeight="true" outlineLevel="0" collapsed="false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customFormat="false" ht="14.25" hidden="false" customHeight="true" outlineLevel="0" collapsed="false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customFormat="false" ht="14.25" hidden="false" customHeight="true" outlineLevel="0" collapsed="false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customFormat="false" ht="14.25" hidden="false" customHeight="true" outlineLevel="0" collapsed="false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customFormat="false" ht="14.25" hidden="false" customHeight="true" outlineLevel="0" collapsed="false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customFormat="false" ht="14.25" hidden="false" customHeight="true" outlineLevel="0" collapsed="false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customFormat="false" ht="14.25" hidden="false" customHeight="true" outlineLevel="0" collapsed="false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customFormat="false" ht="14.25" hidden="false" customHeight="true" outlineLevel="0" collapsed="false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customFormat="false" ht="14.25" hidden="false" customHeight="true" outlineLevel="0" collapsed="false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customFormat="false" ht="14.25" hidden="false" customHeight="true" outlineLevel="0" collapsed="false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customFormat="false" ht="14.25" hidden="false" customHeight="true" outlineLevel="0" collapsed="false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customFormat="false" ht="14.25" hidden="false" customHeight="true" outlineLevel="0" collapsed="false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customFormat="false" ht="14.25" hidden="false" customHeight="true" outlineLevel="0" collapsed="false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customFormat="false" ht="14.25" hidden="false" customHeight="true" outlineLevel="0" collapsed="false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customFormat="false" ht="14.25" hidden="false" customHeight="true" outlineLevel="0" collapsed="false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customFormat="false" ht="14.25" hidden="false" customHeight="true" outlineLevel="0" collapsed="false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customFormat="false" ht="14.25" hidden="false" customHeight="true" outlineLevel="0" collapsed="false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customFormat="false" ht="14.25" hidden="false" customHeight="true" outlineLevel="0" collapsed="false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customFormat="false" ht="14.25" hidden="false" customHeight="true" outlineLevel="0" collapsed="false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customFormat="false" ht="14.25" hidden="false" customHeight="true" outlineLevel="0" collapsed="false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customFormat="false" ht="14.25" hidden="false" customHeight="true" outlineLevel="0" collapsed="false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customFormat="false" ht="14.25" hidden="false" customHeight="true" outlineLevel="0" collapsed="false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customFormat="false" ht="14.25" hidden="false" customHeight="true" outlineLevel="0" collapsed="false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customFormat="false" ht="14.25" hidden="false" customHeight="true" outlineLevel="0" collapsed="false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customFormat="false" ht="14.25" hidden="false" customHeight="true" outlineLevel="0" collapsed="false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customFormat="false" ht="14.25" hidden="false" customHeight="true" outlineLevel="0" collapsed="false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customFormat="false" ht="14.25" hidden="false" customHeight="true" outlineLevel="0" collapsed="false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customFormat="false" ht="14.25" hidden="false" customHeight="true" outlineLevel="0" collapsed="false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customFormat="false" ht="14.25" hidden="false" customHeight="true" outlineLevel="0" collapsed="false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customFormat="false" ht="14.25" hidden="false" customHeight="true" outlineLevel="0" collapsed="false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customFormat="false" ht="14.25" hidden="false" customHeight="true" outlineLevel="0" collapsed="false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customFormat="false" ht="14.25" hidden="false" customHeight="true" outlineLevel="0" collapsed="false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customFormat="false" ht="14.25" hidden="false" customHeight="true" outlineLevel="0" collapsed="false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customFormat="false" ht="14.25" hidden="false" customHeight="true" outlineLevel="0" collapsed="false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customFormat="false" ht="14.25" hidden="false" customHeight="true" outlineLevel="0" collapsed="false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customFormat="false" ht="14.25" hidden="false" customHeight="true" outlineLevel="0" collapsed="false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customFormat="false" ht="14.25" hidden="false" customHeight="true" outlineLevel="0" collapsed="false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customFormat="false" ht="14.25" hidden="false" customHeight="true" outlineLevel="0" collapsed="false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customFormat="false" ht="14.25" hidden="false" customHeight="true" outlineLevel="0" collapsed="false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customFormat="false" ht="14.25" hidden="false" customHeight="true" outlineLevel="0" collapsed="false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customFormat="false" ht="14.25" hidden="false" customHeight="true" outlineLevel="0" collapsed="false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customFormat="false" ht="14.25" hidden="false" customHeight="true" outlineLevel="0" collapsed="false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customFormat="false" ht="14.25" hidden="false" customHeight="true" outlineLevel="0" collapsed="false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customFormat="false" ht="14.25" hidden="false" customHeight="true" outlineLevel="0" collapsed="false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customFormat="false" ht="14.25" hidden="false" customHeight="true" outlineLevel="0" collapsed="false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customFormat="false" ht="14.25" hidden="false" customHeight="true" outlineLevel="0" collapsed="false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customFormat="false" ht="14.25" hidden="false" customHeight="true" outlineLevel="0" collapsed="false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customFormat="false" ht="14.25" hidden="false" customHeight="true" outlineLevel="0" collapsed="false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customFormat="false" ht="14.25" hidden="false" customHeight="true" outlineLevel="0" collapsed="false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customFormat="false" ht="14.25" hidden="false" customHeight="true" outlineLevel="0" collapsed="false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customFormat="false" ht="14.25" hidden="false" customHeight="true" outlineLevel="0" collapsed="false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customFormat="false" ht="14.25" hidden="false" customHeight="true" outlineLevel="0" collapsed="false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customFormat="false" ht="14.25" hidden="false" customHeight="true" outlineLevel="0" collapsed="false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customFormat="false" ht="14.25" hidden="false" customHeight="true" outlineLevel="0" collapsed="false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customFormat="false" ht="14.25" hidden="false" customHeight="true" outlineLevel="0" collapsed="false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customFormat="false" ht="14.25" hidden="false" customHeight="true" outlineLevel="0" collapsed="false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customFormat="false" ht="14.25" hidden="false" customHeight="true" outlineLevel="0" collapsed="false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customFormat="false" ht="14.25" hidden="false" customHeight="true" outlineLevel="0" collapsed="false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customFormat="false" ht="14.25" hidden="false" customHeight="true" outlineLevel="0" collapsed="false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customFormat="false" ht="14.25" hidden="false" customHeight="true" outlineLevel="0" collapsed="false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customFormat="false" ht="14.25" hidden="false" customHeight="true" outlineLevel="0" collapsed="false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customFormat="false" ht="14.25" hidden="false" customHeight="true" outlineLevel="0" collapsed="false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customFormat="false" ht="14.25" hidden="false" customHeight="true" outlineLevel="0" collapsed="false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customFormat="false" ht="14.25" hidden="false" customHeight="true" outlineLevel="0" collapsed="false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customFormat="false" ht="14.25" hidden="false" customHeight="true" outlineLevel="0" collapsed="false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customFormat="false" ht="14.25" hidden="false" customHeight="true" outlineLevel="0" collapsed="false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customFormat="false" ht="14.25" hidden="false" customHeight="true" outlineLevel="0" collapsed="false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customFormat="false" ht="14.25" hidden="false" customHeight="true" outlineLevel="0" collapsed="false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customFormat="false" ht="14.25" hidden="false" customHeight="true" outlineLevel="0" collapsed="false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customFormat="false" ht="14.25" hidden="false" customHeight="true" outlineLevel="0" collapsed="false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customFormat="false" ht="14.25" hidden="false" customHeight="true" outlineLevel="0" collapsed="false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customFormat="false" ht="14.25" hidden="false" customHeight="true" outlineLevel="0" collapsed="false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customFormat="false" ht="14.25" hidden="false" customHeight="true" outlineLevel="0" collapsed="false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customFormat="false" ht="14.25" hidden="false" customHeight="true" outlineLevel="0" collapsed="false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customFormat="false" ht="14.25" hidden="false" customHeight="true" outlineLevel="0" collapsed="false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customFormat="false" ht="14.25" hidden="false" customHeight="true" outlineLevel="0" collapsed="false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customFormat="false" ht="14.25" hidden="false" customHeight="true" outlineLevel="0" collapsed="false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customFormat="false" ht="14.25" hidden="false" customHeight="true" outlineLevel="0" collapsed="false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customFormat="false" ht="14.25" hidden="false" customHeight="true" outlineLevel="0" collapsed="false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customFormat="false" ht="14.25" hidden="false" customHeight="true" outlineLevel="0" collapsed="false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customFormat="false" ht="14.25" hidden="false" customHeight="true" outlineLevel="0" collapsed="false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customFormat="false" ht="14.25" hidden="false" customHeight="true" outlineLevel="0" collapsed="false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customFormat="false" ht="14.25" hidden="false" customHeight="true" outlineLevel="0" collapsed="false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customFormat="false" ht="14.25" hidden="false" customHeight="true" outlineLevel="0" collapsed="false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customFormat="false" ht="14.25" hidden="false" customHeight="true" outlineLevel="0" collapsed="false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customFormat="false" ht="14.25" hidden="false" customHeight="true" outlineLevel="0" collapsed="false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customFormat="false" ht="14.25" hidden="false" customHeight="true" outlineLevel="0" collapsed="false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customFormat="false" ht="14.25" hidden="false" customHeight="true" outlineLevel="0" collapsed="false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customFormat="false" ht="14.25" hidden="false" customHeight="true" outlineLevel="0" collapsed="false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customFormat="false" ht="14.25" hidden="false" customHeight="true" outlineLevel="0" collapsed="false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customFormat="false" ht="14.25" hidden="false" customHeight="true" outlineLevel="0" collapsed="false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customFormat="false" ht="14.25" hidden="false" customHeight="true" outlineLevel="0" collapsed="false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customFormat="false" ht="14.25" hidden="false" customHeight="true" outlineLevel="0" collapsed="false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customFormat="false" ht="14.25" hidden="false" customHeight="true" outlineLevel="0" collapsed="false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customFormat="false" ht="14.25" hidden="false" customHeight="true" outlineLevel="0" collapsed="false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customFormat="false" ht="14.25" hidden="false" customHeight="true" outlineLevel="0" collapsed="false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customFormat="false" ht="14.25" hidden="false" customHeight="true" outlineLevel="0" collapsed="false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customFormat="false" ht="14.25" hidden="false" customHeight="true" outlineLevel="0" collapsed="false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customFormat="false" ht="14.25" hidden="false" customHeight="true" outlineLevel="0" collapsed="false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customFormat="false" ht="14.25" hidden="false" customHeight="true" outlineLevel="0" collapsed="false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customFormat="false" ht="14.25" hidden="false" customHeight="true" outlineLevel="0" collapsed="false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customFormat="false" ht="14.25" hidden="false" customHeight="true" outlineLevel="0" collapsed="false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customFormat="false" ht="14.25" hidden="false" customHeight="true" outlineLevel="0" collapsed="false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customFormat="false" ht="14.25" hidden="false" customHeight="true" outlineLevel="0" collapsed="false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customFormat="false" ht="14.25" hidden="false" customHeight="true" outlineLevel="0" collapsed="false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customFormat="false" ht="14.25" hidden="false" customHeight="true" outlineLevel="0" collapsed="false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customFormat="false" ht="14.25" hidden="false" customHeight="true" outlineLevel="0" collapsed="false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customFormat="false" ht="14.25" hidden="false" customHeight="true" outlineLevel="0" collapsed="false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customFormat="false" ht="14.25" hidden="false" customHeight="true" outlineLevel="0" collapsed="false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customFormat="false" ht="14.25" hidden="false" customHeight="true" outlineLevel="0" collapsed="false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customFormat="false" ht="14.25" hidden="false" customHeight="true" outlineLevel="0" collapsed="false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customFormat="false" ht="14.25" hidden="false" customHeight="true" outlineLevel="0" collapsed="false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customFormat="false" ht="14.25" hidden="false" customHeight="true" outlineLevel="0" collapsed="false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customFormat="false" ht="14.25" hidden="false" customHeight="true" outlineLevel="0" collapsed="false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customFormat="false" ht="14.25" hidden="false" customHeight="true" outlineLevel="0" collapsed="false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customFormat="false" ht="14.25" hidden="false" customHeight="true" outlineLevel="0" collapsed="false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customFormat="false" ht="14.25" hidden="false" customHeight="true" outlineLevel="0" collapsed="false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customFormat="false" ht="14.25" hidden="false" customHeight="true" outlineLevel="0" collapsed="false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customFormat="false" ht="14.25" hidden="false" customHeight="true" outlineLevel="0" collapsed="false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customFormat="false" ht="14.25" hidden="false" customHeight="true" outlineLevel="0" collapsed="false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customFormat="false" ht="14.25" hidden="false" customHeight="true" outlineLevel="0" collapsed="false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customFormat="false" ht="14.25" hidden="false" customHeight="true" outlineLevel="0" collapsed="false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customFormat="false" ht="14.25" hidden="false" customHeight="true" outlineLevel="0" collapsed="false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customFormat="false" ht="14.25" hidden="false" customHeight="true" outlineLevel="0" collapsed="false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customFormat="false" ht="14.25" hidden="false" customHeight="true" outlineLevel="0" collapsed="false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customFormat="false" ht="14.25" hidden="false" customHeight="true" outlineLevel="0" collapsed="false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customFormat="false" ht="14.25" hidden="false" customHeight="true" outlineLevel="0" collapsed="false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customFormat="false" ht="14.25" hidden="false" customHeight="true" outlineLevel="0" collapsed="false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customFormat="false" ht="14.25" hidden="false" customHeight="true" outlineLevel="0" collapsed="false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customFormat="false" ht="14.25" hidden="false" customHeight="true" outlineLevel="0" collapsed="false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customFormat="false" ht="14.25" hidden="false" customHeight="true" outlineLevel="0" collapsed="false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customFormat="false" ht="14.25" hidden="false" customHeight="true" outlineLevel="0" collapsed="false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customFormat="false" ht="14.25" hidden="false" customHeight="true" outlineLevel="0" collapsed="false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customFormat="false" ht="14.25" hidden="false" customHeight="true" outlineLevel="0" collapsed="false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customFormat="false" ht="14.25" hidden="false" customHeight="true" outlineLevel="0" collapsed="false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customFormat="false" ht="14.25" hidden="false" customHeight="true" outlineLevel="0" collapsed="false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customFormat="false" ht="14.25" hidden="false" customHeight="true" outlineLevel="0" collapsed="false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customFormat="false" ht="14.25" hidden="false" customHeight="true" outlineLevel="0" collapsed="false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customFormat="false" ht="14.25" hidden="false" customHeight="true" outlineLevel="0" collapsed="false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customFormat="false" ht="14.25" hidden="false" customHeight="true" outlineLevel="0" collapsed="false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customFormat="false" ht="14.25" hidden="false" customHeight="true" outlineLevel="0" collapsed="false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customFormat="false" ht="14.25" hidden="false" customHeight="true" outlineLevel="0" collapsed="false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customFormat="false" ht="14.25" hidden="false" customHeight="true" outlineLevel="0" collapsed="false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customFormat="false" ht="14.25" hidden="false" customHeight="true" outlineLevel="0" collapsed="false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customFormat="false" ht="14.25" hidden="false" customHeight="true" outlineLevel="0" collapsed="false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customFormat="false" ht="14.25" hidden="false" customHeight="true" outlineLevel="0" collapsed="false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customFormat="false" ht="14.25" hidden="false" customHeight="true" outlineLevel="0" collapsed="false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customFormat="false" ht="14.25" hidden="false" customHeight="true" outlineLevel="0" collapsed="false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customFormat="false" ht="14.25" hidden="false" customHeight="true" outlineLevel="0" collapsed="false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customFormat="false" ht="14.25" hidden="false" customHeight="true" outlineLevel="0" collapsed="false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customFormat="false" ht="14.25" hidden="false" customHeight="true" outlineLevel="0" collapsed="false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customFormat="false" ht="14.25" hidden="false" customHeight="true" outlineLevel="0" collapsed="false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customFormat="false" ht="14.25" hidden="false" customHeight="true" outlineLevel="0" collapsed="false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customFormat="false" ht="14.25" hidden="false" customHeight="true" outlineLevel="0" collapsed="false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customFormat="false" ht="14.25" hidden="false" customHeight="true" outlineLevel="0" collapsed="false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customFormat="false" ht="14.25" hidden="false" customHeight="true" outlineLevel="0" collapsed="false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customFormat="false" ht="14.25" hidden="false" customHeight="true" outlineLevel="0" collapsed="false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customFormat="false" ht="14.25" hidden="false" customHeight="true" outlineLevel="0" collapsed="false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customFormat="false" ht="14.25" hidden="false" customHeight="true" outlineLevel="0" collapsed="false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customFormat="false" ht="14.25" hidden="false" customHeight="true" outlineLevel="0" collapsed="false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customFormat="false" ht="14.25" hidden="false" customHeight="true" outlineLevel="0" collapsed="false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customFormat="false" ht="14.25" hidden="false" customHeight="true" outlineLevel="0" collapsed="false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customFormat="false" ht="14.25" hidden="false" customHeight="true" outlineLevel="0" collapsed="false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customFormat="false" ht="14.25" hidden="false" customHeight="true" outlineLevel="0" collapsed="false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customFormat="false" ht="14.25" hidden="false" customHeight="true" outlineLevel="0" collapsed="false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customFormat="false" ht="14.25" hidden="false" customHeight="true" outlineLevel="0" collapsed="false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customFormat="false" ht="14.25" hidden="false" customHeight="true" outlineLevel="0" collapsed="false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customFormat="false" ht="14.25" hidden="false" customHeight="true" outlineLevel="0" collapsed="false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customFormat="false" ht="14.25" hidden="false" customHeight="true" outlineLevel="0" collapsed="false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customFormat="false" ht="14.25" hidden="false" customHeight="true" outlineLevel="0" collapsed="false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customFormat="false" ht="14.25" hidden="false" customHeight="true" outlineLevel="0" collapsed="false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customFormat="false" ht="14.25" hidden="false" customHeight="true" outlineLevel="0" collapsed="false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customFormat="false" ht="14.25" hidden="false" customHeight="true" outlineLevel="0" collapsed="false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customFormat="false" ht="14.25" hidden="false" customHeight="true" outlineLevel="0" collapsed="false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customFormat="false" ht="14.25" hidden="false" customHeight="true" outlineLevel="0" collapsed="false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customFormat="false" ht="14.25" hidden="false" customHeight="true" outlineLevel="0" collapsed="false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customFormat="false" ht="14.25" hidden="false" customHeight="true" outlineLevel="0" collapsed="false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customFormat="false" ht="14.25" hidden="false" customHeight="true" outlineLevel="0" collapsed="false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customFormat="false" ht="14.25" hidden="false" customHeight="true" outlineLevel="0" collapsed="false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customFormat="false" ht="14.25" hidden="false" customHeight="true" outlineLevel="0" collapsed="false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customFormat="false" ht="14.25" hidden="false" customHeight="true" outlineLevel="0" collapsed="false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customFormat="false" ht="14.25" hidden="false" customHeight="true" outlineLevel="0" collapsed="false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customFormat="false" ht="14.25" hidden="false" customHeight="true" outlineLevel="0" collapsed="false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customFormat="false" ht="14.25" hidden="false" customHeight="true" outlineLevel="0" collapsed="false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customFormat="false" ht="14.25" hidden="false" customHeight="true" outlineLevel="0" collapsed="false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customFormat="false" ht="14.25" hidden="false" customHeight="true" outlineLevel="0" collapsed="false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customFormat="false" ht="14.25" hidden="false" customHeight="true" outlineLevel="0" collapsed="false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customFormat="false" ht="14.25" hidden="false" customHeight="true" outlineLevel="0" collapsed="false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customFormat="false" ht="14.25" hidden="false" customHeight="true" outlineLevel="0" collapsed="false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customFormat="false" ht="14.25" hidden="false" customHeight="true" outlineLevel="0" collapsed="false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customFormat="false" ht="14.25" hidden="false" customHeight="true" outlineLevel="0" collapsed="false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customFormat="false" ht="14.25" hidden="false" customHeight="true" outlineLevel="0" collapsed="false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customFormat="false" ht="14.25" hidden="false" customHeight="true" outlineLevel="0" collapsed="false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customFormat="false" ht="14.25" hidden="false" customHeight="true" outlineLevel="0" collapsed="false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customFormat="false" ht="14.25" hidden="false" customHeight="true" outlineLevel="0" collapsed="false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customFormat="false" ht="14.25" hidden="false" customHeight="true" outlineLevel="0" collapsed="false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customFormat="false" ht="14.25" hidden="false" customHeight="true" outlineLevel="0" collapsed="false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customFormat="false" ht="14.25" hidden="false" customHeight="true" outlineLevel="0" collapsed="false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customFormat="false" ht="14.25" hidden="false" customHeight="true" outlineLevel="0" collapsed="false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customFormat="false" ht="14.25" hidden="false" customHeight="true" outlineLevel="0" collapsed="false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customFormat="false" ht="14.25" hidden="false" customHeight="true" outlineLevel="0" collapsed="false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customFormat="false" ht="14.25" hidden="false" customHeight="true" outlineLevel="0" collapsed="false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customFormat="false" ht="14.25" hidden="false" customHeight="true" outlineLevel="0" collapsed="false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customFormat="false" ht="14.25" hidden="false" customHeight="true" outlineLevel="0" collapsed="false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customFormat="false" ht="14.25" hidden="false" customHeight="true" outlineLevel="0" collapsed="false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customFormat="false" ht="14.25" hidden="false" customHeight="true" outlineLevel="0" collapsed="false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customFormat="false" ht="14.25" hidden="false" customHeight="true" outlineLevel="0" collapsed="false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customFormat="false" ht="14.25" hidden="false" customHeight="true" outlineLevel="0" collapsed="false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customFormat="false" ht="14.25" hidden="false" customHeight="true" outlineLevel="0" collapsed="false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customFormat="false" ht="14.25" hidden="false" customHeight="true" outlineLevel="0" collapsed="false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customFormat="false" ht="14.25" hidden="false" customHeight="true" outlineLevel="0" collapsed="false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customFormat="false" ht="14.25" hidden="false" customHeight="true" outlineLevel="0" collapsed="false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customFormat="false" ht="14.25" hidden="false" customHeight="true" outlineLevel="0" collapsed="false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customFormat="false" ht="14.25" hidden="false" customHeight="true" outlineLevel="0" collapsed="false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customFormat="false" ht="14.25" hidden="false" customHeight="true" outlineLevel="0" collapsed="false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customFormat="false" ht="14.25" hidden="false" customHeight="true" outlineLevel="0" collapsed="false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customFormat="false" ht="14.25" hidden="false" customHeight="true" outlineLevel="0" collapsed="false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customFormat="false" ht="14.25" hidden="false" customHeight="true" outlineLevel="0" collapsed="false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customFormat="false" ht="14.25" hidden="false" customHeight="true" outlineLevel="0" collapsed="false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customFormat="false" ht="14.25" hidden="false" customHeight="true" outlineLevel="0" collapsed="false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customFormat="false" ht="14.25" hidden="false" customHeight="true" outlineLevel="0" collapsed="false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customFormat="false" ht="14.25" hidden="false" customHeight="true" outlineLevel="0" collapsed="false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customFormat="false" ht="14.25" hidden="false" customHeight="true" outlineLevel="0" collapsed="false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customFormat="false" ht="14.25" hidden="false" customHeight="true" outlineLevel="0" collapsed="false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customFormat="false" ht="14.25" hidden="false" customHeight="true" outlineLevel="0" collapsed="false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customFormat="false" ht="14.25" hidden="false" customHeight="true" outlineLevel="0" collapsed="false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customFormat="false" ht="14.25" hidden="false" customHeight="true" outlineLevel="0" collapsed="false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customFormat="false" ht="14.25" hidden="false" customHeight="true" outlineLevel="0" collapsed="false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customFormat="false" ht="14.25" hidden="false" customHeight="true" outlineLevel="0" collapsed="false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customFormat="false" ht="14.25" hidden="false" customHeight="true" outlineLevel="0" collapsed="false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customFormat="false" ht="14.25" hidden="false" customHeight="true" outlineLevel="0" collapsed="false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customFormat="false" ht="14.25" hidden="false" customHeight="true" outlineLevel="0" collapsed="false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customFormat="false" ht="14.25" hidden="false" customHeight="true" outlineLevel="0" collapsed="false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customFormat="false" ht="14.25" hidden="false" customHeight="true" outlineLevel="0" collapsed="false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customFormat="false" ht="14.25" hidden="false" customHeight="true" outlineLevel="0" collapsed="false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customFormat="false" ht="14.25" hidden="false" customHeight="true" outlineLevel="0" collapsed="false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customFormat="false" ht="14.25" hidden="false" customHeight="true" outlineLevel="0" collapsed="false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customFormat="false" ht="14.25" hidden="false" customHeight="true" outlineLevel="0" collapsed="false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customFormat="false" ht="14.25" hidden="false" customHeight="true" outlineLevel="0" collapsed="false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customFormat="false" ht="14.25" hidden="false" customHeight="true" outlineLevel="0" collapsed="false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customFormat="false" ht="14.25" hidden="false" customHeight="true" outlineLevel="0" collapsed="false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customFormat="false" ht="14.25" hidden="false" customHeight="true" outlineLevel="0" collapsed="false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customFormat="false" ht="14.25" hidden="false" customHeight="true" outlineLevel="0" collapsed="false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customFormat="false" ht="14.25" hidden="false" customHeight="true" outlineLevel="0" collapsed="false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customFormat="false" ht="14.25" hidden="false" customHeight="true" outlineLevel="0" collapsed="false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customFormat="false" ht="14.25" hidden="false" customHeight="true" outlineLevel="0" collapsed="false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customFormat="false" ht="14.25" hidden="false" customHeight="true" outlineLevel="0" collapsed="false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customFormat="false" ht="14.25" hidden="false" customHeight="true" outlineLevel="0" collapsed="false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customFormat="false" ht="14.25" hidden="false" customHeight="true" outlineLevel="0" collapsed="false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customFormat="false" ht="14.25" hidden="false" customHeight="true" outlineLevel="0" collapsed="false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customFormat="false" ht="14.25" hidden="false" customHeight="true" outlineLevel="0" collapsed="false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customFormat="false" ht="14.25" hidden="false" customHeight="true" outlineLevel="0" collapsed="false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customFormat="false" ht="14.25" hidden="false" customHeight="true" outlineLevel="0" collapsed="false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customFormat="false" ht="14.25" hidden="false" customHeight="true" outlineLevel="0" collapsed="false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customFormat="false" ht="14.25" hidden="false" customHeight="true" outlineLevel="0" collapsed="false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customFormat="false" ht="14.25" hidden="false" customHeight="true" outlineLevel="0" collapsed="false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customFormat="false" ht="14.25" hidden="false" customHeight="true" outlineLevel="0" collapsed="false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customFormat="false" ht="14.25" hidden="false" customHeight="true" outlineLevel="0" collapsed="false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customFormat="false" ht="14.25" hidden="false" customHeight="true" outlineLevel="0" collapsed="false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customFormat="false" ht="14.25" hidden="false" customHeight="true" outlineLevel="0" collapsed="false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customFormat="false" ht="14.25" hidden="false" customHeight="true" outlineLevel="0" collapsed="false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customFormat="false" ht="14.25" hidden="false" customHeight="true" outlineLevel="0" collapsed="false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customFormat="false" ht="14.25" hidden="false" customHeight="true" outlineLevel="0" collapsed="false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customFormat="false" ht="14.25" hidden="false" customHeight="true" outlineLevel="0" collapsed="false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customFormat="false" ht="14.25" hidden="false" customHeight="true" outlineLevel="0" collapsed="false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customFormat="false" ht="14.25" hidden="false" customHeight="true" outlineLevel="0" collapsed="false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customFormat="false" ht="14.25" hidden="false" customHeight="true" outlineLevel="0" collapsed="false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customFormat="false" ht="14.25" hidden="false" customHeight="true" outlineLevel="0" collapsed="false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customFormat="false" ht="14.25" hidden="false" customHeight="true" outlineLevel="0" collapsed="false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customFormat="false" ht="14.25" hidden="false" customHeight="true" outlineLevel="0" collapsed="false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customFormat="false" ht="14.25" hidden="false" customHeight="true" outlineLevel="0" collapsed="false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customFormat="false" ht="14.25" hidden="false" customHeight="true" outlineLevel="0" collapsed="false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customFormat="false" ht="14.25" hidden="false" customHeight="true" outlineLevel="0" collapsed="false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customFormat="false" ht="14.25" hidden="false" customHeight="true" outlineLevel="0" collapsed="false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customFormat="false" ht="14.25" hidden="false" customHeight="true" outlineLevel="0" collapsed="false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customFormat="false" ht="14.25" hidden="false" customHeight="true" outlineLevel="0" collapsed="false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customFormat="false" ht="14.25" hidden="false" customHeight="true" outlineLevel="0" collapsed="false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customFormat="false" ht="14.25" hidden="false" customHeight="true" outlineLevel="0" collapsed="false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customFormat="false" ht="14.25" hidden="false" customHeight="true" outlineLevel="0" collapsed="false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customFormat="false" ht="14.25" hidden="false" customHeight="true" outlineLevel="0" collapsed="false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customFormat="false" ht="14.25" hidden="false" customHeight="true" outlineLevel="0" collapsed="false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customFormat="false" ht="14.25" hidden="false" customHeight="true" outlineLevel="0" collapsed="false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customFormat="false" ht="14.25" hidden="false" customHeight="true" outlineLevel="0" collapsed="false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customFormat="false" ht="14.25" hidden="false" customHeight="true" outlineLevel="0" collapsed="false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customFormat="false" ht="14.25" hidden="false" customHeight="true" outlineLevel="0" collapsed="false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customFormat="false" ht="14.25" hidden="false" customHeight="true" outlineLevel="0" collapsed="false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customFormat="false" ht="14.25" hidden="false" customHeight="true" outlineLevel="0" collapsed="false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customFormat="false" ht="14.25" hidden="false" customHeight="true" outlineLevel="0" collapsed="false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customFormat="false" ht="14.25" hidden="false" customHeight="true" outlineLevel="0" collapsed="false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customFormat="false" ht="14.25" hidden="false" customHeight="true" outlineLevel="0" collapsed="false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customFormat="false" ht="14.25" hidden="false" customHeight="true" outlineLevel="0" collapsed="false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customFormat="false" ht="14.25" hidden="false" customHeight="true" outlineLevel="0" collapsed="false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customFormat="false" ht="14.25" hidden="false" customHeight="true" outlineLevel="0" collapsed="false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customFormat="false" ht="14.25" hidden="false" customHeight="true" outlineLevel="0" collapsed="false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customFormat="false" ht="14.25" hidden="false" customHeight="true" outlineLevel="0" collapsed="false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customFormat="false" ht="14.25" hidden="false" customHeight="true" outlineLevel="0" collapsed="false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customFormat="false" ht="14.25" hidden="false" customHeight="true" outlineLevel="0" collapsed="false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customFormat="false" ht="14.25" hidden="false" customHeight="true" outlineLevel="0" collapsed="false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customFormat="false" ht="14.25" hidden="false" customHeight="true" outlineLevel="0" collapsed="false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customFormat="false" ht="14.25" hidden="false" customHeight="true" outlineLevel="0" collapsed="false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customFormat="false" ht="14.25" hidden="false" customHeight="true" outlineLevel="0" collapsed="false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customFormat="false" ht="14.25" hidden="false" customHeight="true" outlineLevel="0" collapsed="false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customFormat="false" ht="14.25" hidden="false" customHeight="true" outlineLevel="0" collapsed="false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customFormat="false" ht="14.25" hidden="false" customHeight="true" outlineLevel="0" collapsed="false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customFormat="false" ht="14.25" hidden="false" customHeight="true" outlineLevel="0" collapsed="false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customFormat="false" ht="14.25" hidden="false" customHeight="true" outlineLevel="0" collapsed="false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customFormat="false" ht="14.25" hidden="false" customHeight="true" outlineLevel="0" collapsed="false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customFormat="false" ht="14.25" hidden="false" customHeight="true" outlineLevel="0" collapsed="false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customFormat="false" ht="14.25" hidden="false" customHeight="true" outlineLevel="0" collapsed="false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customFormat="false" ht="14.25" hidden="false" customHeight="true" outlineLevel="0" collapsed="false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customFormat="false" ht="14.25" hidden="false" customHeight="true" outlineLevel="0" collapsed="false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customFormat="false" ht="14.25" hidden="false" customHeight="true" outlineLevel="0" collapsed="false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customFormat="false" ht="14.25" hidden="false" customHeight="true" outlineLevel="0" collapsed="false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customFormat="false" ht="14.25" hidden="false" customHeight="true" outlineLevel="0" collapsed="false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customFormat="false" ht="14.25" hidden="false" customHeight="true" outlineLevel="0" collapsed="false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customFormat="false" ht="14.25" hidden="false" customHeight="true" outlineLevel="0" collapsed="false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customFormat="false" ht="14.25" hidden="false" customHeight="true" outlineLevel="0" collapsed="false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customFormat="false" ht="14.25" hidden="false" customHeight="true" outlineLevel="0" collapsed="false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customFormat="false" ht="14.25" hidden="false" customHeight="true" outlineLevel="0" collapsed="false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customFormat="false" ht="14.25" hidden="false" customHeight="true" outlineLevel="0" collapsed="false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customFormat="false" ht="14.25" hidden="false" customHeight="true" outlineLevel="0" collapsed="false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customFormat="false" ht="14.25" hidden="false" customHeight="true" outlineLevel="0" collapsed="false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customFormat="false" ht="14.25" hidden="false" customHeight="true" outlineLevel="0" collapsed="false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customFormat="false" ht="14.25" hidden="false" customHeight="true" outlineLevel="0" collapsed="false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customFormat="false" ht="14.25" hidden="false" customHeight="true" outlineLevel="0" collapsed="false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customFormat="false" ht="14.25" hidden="false" customHeight="true" outlineLevel="0" collapsed="false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customFormat="false" ht="14.25" hidden="false" customHeight="true" outlineLevel="0" collapsed="false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customFormat="false" ht="14.25" hidden="false" customHeight="true" outlineLevel="0" collapsed="false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customFormat="false" ht="14.25" hidden="false" customHeight="true" outlineLevel="0" collapsed="false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customFormat="false" ht="14.25" hidden="false" customHeight="true" outlineLevel="0" collapsed="false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customFormat="false" ht="14.25" hidden="false" customHeight="true" outlineLevel="0" collapsed="false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customFormat="false" ht="14.25" hidden="false" customHeight="true" outlineLevel="0" collapsed="false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customFormat="false" ht="14.25" hidden="false" customHeight="true" outlineLevel="0" collapsed="false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customFormat="false" ht="14.25" hidden="false" customHeight="true" outlineLevel="0" collapsed="false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customFormat="false" ht="14.25" hidden="false" customHeight="true" outlineLevel="0" collapsed="false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customFormat="false" ht="14.25" hidden="false" customHeight="true" outlineLevel="0" collapsed="false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customFormat="false" ht="14.25" hidden="false" customHeight="true" outlineLevel="0" collapsed="false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customFormat="false" ht="14.25" hidden="false" customHeight="true" outlineLevel="0" collapsed="false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customFormat="false" ht="14.25" hidden="false" customHeight="true" outlineLevel="0" collapsed="false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customFormat="false" ht="14.25" hidden="false" customHeight="true" outlineLevel="0" collapsed="false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customFormat="false" ht="14.25" hidden="false" customHeight="true" outlineLevel="0" collapsed="false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customFormat="false" ht="14.25" hidden="false" customHeight="true" outlineLevel="0" collapsed="false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customFormat="false" ht="14.25" hidden="false" customHeight="true" outlineLevel="0" collapsed="false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customFormat="false" ht="14.25" hidden="false" customHeight="true" outlineLevel="0" collapsed="false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customFormat="false" ht="14.25" hidden="false" customHeight="true" outlineLevel="0" collapsed="false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customFormat="false" ht="14.25" hidden="false" customHeight="true" outlineLevel="0" collapsed="false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customFormat="false" ht="14.25" hidden="false" customHeight="true" outlineLevel="0" collapsed="false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customFormat="false" ht="14.25" hidden="false" customHeight="true" outlineLevel="0" collapsed="false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customFormat="false" ht="14.25" hidden="false" customHeight="true" outlineLevel="0" collapsed="false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customFormat="false" ht="14.25" hidden="false" customHeight="true" outlineLevel="0" collapsed="false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customFormat="false" ht="14.25" hidden="false" customHeight="true" outlineLevel="0" collapsed="false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customFormat="false" ht="14.25" hidden="false" customHeight="true" outlineLevel="0" collapsed="false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customFormat="false" ht="14.25" hidden="false" customHeight="true" outlineLevel="0" collapsed="false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customFormat="false" ht="14.25" hidden="false" customHeight="true" outlineLevel="0" collapsed="false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customFormat="false" ht="14.25" hidden="false" customHeight="true" outlineLevel="0" collapsed="false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customFormat="false" ht="14.25" hidden="false" customHeight="true" outlineLevel="0" collapsed="false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customFormat="false" ht="14.25" hidden="false" customHeight="true" outlineLevel="0" collapsed="false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customFormat="false" ht="14.25" hidden="false" customHeight="true" outlineLevel="0" collapsed="false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customFormat="false" ht="14.25" hidden="false" customHeight="true" outlineLevel="0" collapsed="false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customFormat="false" ht="14.25" hidden="false" customHeight="true" outlineLevel="0" collapsed="false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customFormat="false" ht="14.25" hidden="false" customHeight="true" outlineLevel="0" collapsed="false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customFormat="false" ht="14.25" hidden="false" customHeight="true" outlineLevel="0" collapsed="false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customFormat="false" ht="14.25" hidden="false" customHeight="true" outlineLevel="0" collapsed="false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customFormat="false" ht="14.25" hidden="false" customHeight="true" outlineLevel="0" collapsed="false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customFormat="false" ht="14.25" hidden="false" customHeight="true" outlineLevel="0" collapsed="false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customFormat="false" ht="14.25" hidden="false" customHeight="true" outlineLevel="0" collapsed="false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customFormat="false" ht="14.25" hidden="false" customHeight="true" outlineLevel="0" collapsed="false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customFormat="false" ht="14.25" hidden="false" customHeight="true" outlineLevel="0" collapsed="false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customFormat="false" ht="14.25" hidden="false" customHeight="true" outlineLevel="0" collapsed="false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customFormat="false" ht="14.25" hidden="false" customHeight="true" outlineLevel="0" collapsed="false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customFormat="false" ht="14.25" hidden="false" customHeight="true" outlineLevel="0" collapsed="false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customFormat="false" ht="14.25" hidden="false" customHeight="true" outlineLevel="0" collapsed="false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customFormat="false" ht="14.25" hidden="false" customHeight="true" outlineLevel="0" collapsed="false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customFormat="false" ht="14.25" hidden="false" customHeight="true" outlineLevel="0" collapsed="false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customFormat="false" ht="14.25" hidden="false" customHeight="true" outlineLevel="0" collapsed="false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customFormat="false" ht="14.25" hidden="false" customHeight="true" outlineLevel="0" collapsed="false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customFormat="false" ht="14.25" hidden="false" customHeight="true" outlineLevel="0" collapsed="false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customFormat="false" ht="14.25" hidden="false" customHeight="true" outlineLevel="0" collapsed="false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customFormat="false" ht="14.25" hidden="false" customHeight="true" outlineLevel="0" collapsed="false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customFormat="false" ht="14.25" hidden="false" customHeight="true" outlineLevel="0" collapsed="false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customFormat="false" ht="14.25" hidden="false" customHeight="true" outlineLevel="0" collapsed="false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customFormat="false" ht="14.25" hidden="false" customHeight="true" outlineLevel="0" collapsed="false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customFormat="false" ht="14.25" hidden="false" customHeight="true" outlineLevel="0" collapsed="false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customFormat="false" ht="14.25" hidden="false" customHeight="true" outlineLevel="0" collapsed="false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customFormat="false" ht="14.25" hidden="false" customHeight="true" outlineLevel="0" collapsed="false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customFormat="false" ht="14.25" hidden="false" customHeight="true" outlineLevel="0" collapsed="false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customFormat="false" ht="14.25" hidden="false" customHeight="true" outlineLevel="0" collapsed="false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customFormat="false" ht="14.25" hidden="false" customHeight="true" outlineLevel="0" collapsed="false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customFormat="false" ht="14.25" hidden="false" customHeight="true" outlineLevel="0" collapsed="false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customFormat="false" ht="14.25" hidden="false" customHeight="true" outlineLevel="0" collapsed="false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customFormat="false" ht="14.25" hidden="false" customHeight="true" outlineLevel="0" collapsed="false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customFormat="false" ht="14.25" hidden="false" customHeight="true" outlineLevel="0" collapsed="false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customFormat="false" ht="14.25" hidden="false" customHeight="true" outlineLevel="0" collapsed="false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customFormat="false" ht="14.25" hidden="false" customHeight="true" outlineLevel="0" collapsed="false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customFormat="false" ht="14.25" hidden="false" customHeight="true" outlineLevel="0" collapsed="false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customFormat="false" ht="14.25" hidden="false" customHeight="true" outlineLevel="0" collapsed="false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customFormat="false" ht="14.25" hidden="false" customHeight="true" outlineLevel="0" collapsed="false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customFormat="false" ht="14.25" hidden="false" customHeight="true" outlineLevel="0" collapsed="false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customFormat="false" ht="14.25" hidden="false" customHeight="true" outlineLevel="0" collapsed="false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customFormat="false" ht="14.25" hidden="false" customHeight="true" outlineLevel="0" collapsed="false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customFormat="false" ht="14.25" hidden="false" customHeight="true" outlineLevel="0" collapsed="false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customFormat="false" ht="14.25" hidden="false" customHeight="true" outlineLevel="0" collapsed="false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customFormat="false" ht="14.25" hidden="false" customHeight="true" outlineLevel="0" collapsed="false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customFormat="false" ht="14.25" hidden="false" customHeight="true" outlineLevel="0" collapsed="false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customFormat="false" ht="14.25" hidden="false" customHeight="true" outlineLevel="0" collapsed="false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customFormat="false" ht="14.25" hidden="false" customHeight="true" outlineLevel="0" collapsed="false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customFormat="false" ht="14.25" hidden="false" customHeight="true" outlineLevel="0" collapsed="false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customFormat="false" ht="14.25" hidden="false" customHeight="true" outlineLevel="0" collapsed="false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customFormat="false" ht="14.25" hidden="false" customHeight="true" outlineLevel="0" collapsed="false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customFormat="false" ht="14.25" hidden="false" customHeight="true" outlineLevel="0" collapsed="false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customFormat="false" ht="14.25" hidden="false" customHeight="true" outlineLevel="0" collapsed="false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customFormat="false" ht="14.25" hidden="false" customHeight="true" outlineLevel="0" collapsed="false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customFormat="false" ht="14.25" hidden="false" customHeight="true" outlineLevel="0" collapsed="false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customFormat="false" ht="14.25" hidden="false" customHeight="true" outlineLevel="0" collapsed="false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customFormat="false" ht="14.25" hidden="false" customHeight="true" outlineLevel="0" collapsed="false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customFormat="false" ht="14.25" hidden="false" customHeight="true" outlineLevel="0" collapsed="false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customFormat="false" ht="14.25" hidden="false" customHeight="true" outlineLevel="0" collapsed="false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customFormat="false" ht="14.25" hidden="false" customHeight="true" outlineLevel="0" collapsed="false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customFormat="false" ht="14.25" hidden="false" customHeight="true" outlineLevel="0" collapsed="false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customFormat="false" ht="14.25" hidden="false" customHeight="true" outlineLevel="0" collapsed="false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customFormat="false" ht="14.25" hidden="false" customHeight="true" outlineLevel="0" collapsed="false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customFormat="false" ht="14.25" hidden="false" customHeight="true" outlineLevel="0" collapsed="false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customFormat="false" ht="14.25" hidden="false" customHeight="true" outlineLevel="0" collapsed="false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customFormat="false" ht="14.25" hidden="false" customHeight="true" outlineLevel="0" collapsed="false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customFormat="false" ht="14.25" hidden="false" customHeight="true" outlineLevel="0" collapsed="false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customFormat="false" ht="14.25" hidden="false" customHeight="true" outlineLevel="0" collapsed="false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customFormat="false" ht="14.25" hidden="false" customHeight="true" outlineLevel="0" collapsed="false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customFormat="false" ht="14.25" hidden="false" customHeight="true" outlineLevel="0" collapsed="false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customFormat="false" ht="14.25" hidden="false" customHeight="true" outlineLevel="0" collapsed="false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customFormat="false" ht="14.25" hidden="false" customHeight="true" outlineLevel="0" collapsed="false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customFormat="false" ht="14.25" hidden="false" customHeight="true" outlineLevel="0" collapsed="false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customFormat="false" ht="14.25" hidden="false" customHeight="true" outlineLevel="0" collapsed="false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customFormat="false" ht="14.25" hidden="false" customHeight="true" outlineLevel="0" collapsed="false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customFormat="false" ht="14.25" hidden="false" customHeight="true" outlineLevel="0" collapsed="false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customFormat="false" ht="14.25" hidden="false" customHeight="true" outlineLevel="0" collapsed="false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customFormat="false" ht="14.25" hidden="false" customHeight="true" outlineLevel="0" collapsed="false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customFormat="false" ht="14.25" hidden="false" customHeight="true" outlineLevel="0" collapsed="false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customFormat="false" ht="14.25" hidden="false" customHeight="true" outlineLevel="0" collapsed="false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customFormat="false" ht="14.25" hidden="false" customHeight="true" outlineLevel="0" collapsed="false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customFormat="false" ht="14.25" hidden="false" customHeight="true" outlineLevel="0" collapsed="false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customFormat="false" ht="14.25" hidden="false" customHeight="true" outlineLevel="0" collapsed="false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customFormat="false" ht="14.25" hidden="false" customHeight="true" outlineLevel="0" collapsed="false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customFormat="false" ht="14.25" hidden="false" customHeight="true" outlineLevel="0" collapsed="false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customFormat="false" ht="14.25" hidden="false" customHeight="true" outlineLevel="0" collapsed="false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customFormat="false" ht="14.25" hidden="false" customHeight="true" outlineLevel="0" collapsed="false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customFormat="false" ht="14.25" hidden="false" customHeight="true" outlineLevel="0" collapsed="false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customFormat="false" ht="14.25" hidden="false" customHeight="true" outlineLevel="0" collapsed="false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customFormat="false" ht="14.25" hidden="false" customHeight="true" outlineLevel="0" collapsed="false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customFormat="false" ht="14.25" hidden="false" customHeight="true" outlineLevel="0" collapsed="false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customFormat="false" ht="14.25" hidden="false" customHeight="true" outlineLevel="0" collapsed="false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customFormat="false" ht="14.25" hidden="false" customHeight="true" outlineLevel="0" collapsed="false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customFormat="false" ht="14.25" hidden="false" customHeight="true" outlineLevel="0" collapsed="false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customFormat="false" ht="14.25" hidden="false" customHeight="true" outlineLevel="0" collapsed="false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customFormat="false" ht="14.25" hidden="false" customHeight="true" outlineLevel="0" collapsed="false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customFormat="false" ht="14.25" hidden="false" customHeight="true" outlineLevel="0" collapsed="false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customFormat="false" ht="14.25" hidden="false" customHeight="true" outlineLevel="0" collapsed="false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customFormat="false" ht="14.25" hidden="false" customHeight="true" outlineLevel="0" collapsed="false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customFormat="false" ht="14.25" hidden="false" customHeight="true" outlineLevel="0" collapsed="false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customFormat="false" ht="14.25" hidden="false" customHeight="true" outlineLevel="0" collapsed="false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customFormat="false" ht="14.25" hidden="false" customHeight="true" outlineLevel="0" collapsed="false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customFormat="false" ht="14.25" hidden="false" customHeight="true" outlineLevel="0" collapsed="false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customFormat="false" ht="14.25" hidden="false" customHeight="true" outlineLevel="0" collapsed="false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customFormat="false" ht="14.25" hidden="false" customHeight="true" outlineLevel="0" collapsed="false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customFormat="false" ht="14.25" hidden="false" customHeight="true" outlineLevel="0" collapsed="false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customFormat="false" ht="14.25" hidden="false" customHeight="true" outlineLevel="0" collapsed="false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customFormat="false" ht="14.25" hidden="false" customHeight="true" outlineLevel="0" collapsed="false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customFormat="false" ht="14.25" hidden="false" customHeight="true" outlineLevel="0" collapsed="false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customFormat="false" ht="14.25" hidden="false" customHeight="true" outlineLevel="0" collapsed="false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customFormat="false" ht="14.25" hidden="false" customHeight="true" outlineLevel="0" collapsed="false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customFormat="false" ht="14.25" hidden="false" customHeight="true" outlineLevel="0" collapsed="false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customFormat="false" ht="14.25" hidden="false" customHeight="true" outlineLevel="0" collapsed="false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customFormat="false" ht="14.25" hidden="false" customHeight="true" outlineLevel="0" collapsed="false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customFormat="false" ht="14.25" hidden="false" customHeight="true" outlineLevel="0" collapsed="false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customFormat="false" ht="14.25" hidden="false" customHeight="true" outlineLevel="0" collapsed="false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customFormat="false" ht="14.25" hidden="false" customHeight="true" outlineLevel="0" collapsed="false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customFormat="false" ht="14.25" hidden="false" customHeight="true" outlineLevel="0" collapsed="false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customFormat="false" ht="14.25" hidden="false" customHeight="true" outlineLevel="0" collapsed="false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customFormat="false" ht="14.25" hidden="false" customHeight="true" outlineLevel="0" collapsed="false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customFormat="false" ht="14.25" hidden="false" customHeight="true" outlineLevel="0" collapsed="false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customFormat="false" ht="14.25" hidden="false" customHeight="true" outlineLevel="0" collapsed="false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customFormat="false" ht="14.25" hidden="false" customHeight="true" outlineLevel="0" collapsed="false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customFormat="false" ht="14.25" hidden="false" customHeight="true" outlineLevel="0" collapsed="false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customFormat="false" ht="14.25" hidden="false" customHeight="true" outlineLevel="0" collapsed="false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customFormat="false" ht="14.25" hidden="false" customHeight="true" outlineLevel="0" collapsed="false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customFormat="false" ht="14.25" hidden="false" customHeight="true" outlineLevel="0" collapsed="false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customFormat="false" ht="14.25" hidden="false" customHeight="true" outlineLevel="0" collapsed="false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customFormat="false" ht="14.25" hidden="false" customHeight="true" outlineLevel="0" collapsed="false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customFormat="false" ht="14.25" hidden="false" customHeight="true" outlineLevel="0" collapsed="false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customFormat="false" ht="14.25" hidden="false" customHeight="true" outlineLevel="0" collapsed="false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customFormat="false" ht="14.25" hidden="false" customHeight="true" outlineLevel="0" collapsed="false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customFormat="false" ht="14.25" hidden="false" customHeight="true" outlineLevel="0" collapsed="false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customFormat="false" ht="14.25" hidden="false" customHeight="true" outlineLevel="0" collapsed="false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customFormat="false" ht="14.25" hidden="false" customHeight="true" outlineLevel="0" collapsed="false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customFormat="false" ht="14.25" hidden="false" customHeight="true" outlineLevel="0" collapsed="false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customFormat="false" ht="14.25" hidden="false" customHeight="true" outlineLevel="0" collapsed="false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customFormat="false" ht="14.25" hidden="false" customHeight="true" outlineLevel="0" collapsed="false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customFormat="false" ht="14.25" hidden="false" customHeight="true" outlineLevel="0" collapsed="false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customFormat="false" ht="14.25" hidden="false" customHeight="true" outlineLevel="0" collapsed="false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customFormat="false" ht="14.25" hidden="false" customHeight="true" outlineLevel="0" collapsed="false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customFormat="false" ht="14.25" hidden="false" customHeight="true" outlineLevel="0" collapsed="false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customFormat="false" ht="14.25" hidden="false" customHeight="true" outlineLevel="0" collapsed="false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customFormat="false" ht="14.25" hidden="false" customHeight="true" outlineLevel="0" collapsed="false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customFormat="false" ht="14.25" hidden="false" customHeight="true" outlineLevel="0" collapsed="false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customFormat="false" ht="14.25" hidden="false" customHeight="true" outlineLevel="0" collapsed="false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customFormat="false" ht="14.25" hidden="false" customHeight="true" outlineLevel="0" collapsed="false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customFormat="false" ht="14.25" hidden="false" customHeight="true" outlineLevel="0" collapsed="false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customFormat="false" ht="14.25" hidden="false" customHeight="true" outlineLevel="0" collapsed="false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customFormat="false" ht="14.25" hidden="false" customHeight="true" outlineLevel="0" collapsed="false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customFormat="false" ht="14.25" hidden="false" customHeight="true" outlineLevel="0" collapsed="false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customFormat="false" ht="14.25" hidden="false" customHeight="true" outlineLevel="0" collapsed="false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customFormat="false" ht="14.25" hidden="false" customHeight="true" outlineLevel="0" collapsed="false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customFormat="false" ht="14.25" hidden="false" customHeight="true" outlineLevel="0" collapsed="false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customFormat="false" ht="14.25" hidden="false" customHeight="true" outlineLevel="0" collapsed="false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customFormat="false" ht="14.25" hidden="false" customHeight="true" outlineLevel="0" collapsed="false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customFormat="false" ht="14.25" hidden="false" customHeight="true" outlineLevel="0" collapsed="false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customFormat="false" ht="14.25" hidden="false" customHeight="true" outlineLevel="0" collapsed="false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customFormat="false" ht="14.25" hidden="false" customHeight="true" outlineLevel="0" collapsed="false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customFormat="false" ht="14.25" hidden="false" customHeight="true" outlineLevel="0" collapsed="false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customFormat="false" ht="14.25" hidden="false" customHeight="true" outlineLevel="0" collapsed="false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customFormat="false" ht="14.25" hidden="false" customHeight="true" outlineLevel="0" collapsed="false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customFormat="false" ht="14.25" hidden="false" customHeight="true" outlineLevel="0" collapsed="false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customFormat="false" ht="14.25" hidden="false" customHeight="true" outlineLevel="0" collapsed="false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customFormat="false" ht="14.25" hidden="false" customHeight="true" outlineLevel="0" collapsed="false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customFormat="false" ht="14.25" hidden="false" customHeight="true" outlineLevel="0" collapsed="false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customFormat="false" ht="14.25" hidden="false" customHeight="true" outlineLevel="0" collapsed="false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customFormat="false" ht="14.25" hidden="false" customHeight="true" outlineLevel="0" collapsed="false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customFormat="false" ht="14.25" hidden="false" customHeight="true" outlineLevel="0" collapsed="false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customFormat="false" ht="14.25" hidden="false" customHeight="true" outlineLevel="0" collapsed="false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customFormat="false" ht="14.25" hidden="false" customHeight="true" outlineLevel="0" collapsed="false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customFormat="false" ht="14.25" hidden="false" customHeight="true" outlineLevel="0" collapsed="false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customFormat="false" ht="14.25" hidden="false" customHeight="true" outlineLevel="0" collapsed="false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customFormat="false" ht="14.25" hidden="false" customHeight="true" outlineLevel="0" collapsed="false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customFormat="false" ht="14.25" hidden="false" customHeight="true" outlineLevel="0" collapsed="false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customFormat="false" ht="14.25" hidden="false" customHeight="true" outlineLevel="0" collapsed="false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customFormat="false" ht="14.25" hidden="false" customHeight="true" outlineLevel="0" collapsed="false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customFormat="false" ht="14.25" hidden="false" customHeight="true" outlineLevel="0" collapsed="false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customFormat="false" ht="14.25" hidden="false" customHeight="true" outlineLevel="0" collapsed="false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customFormat="false" ht="14.25" hidden="false" customHeight="true" outlineLevel="0" collapsed="false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customFormat="false" ht="14.25" hidden="false" customHeight="true" outlineLevel="0" collapsed="false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customFormat="false" ht="14.25" hidden="false" customHeight="true" outlineLevel="0" collapsed="false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customFormat="false" ht="14.25" hidden="false" customHeight="true" outlineLevel="0" collapsed="false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customFormat="false" ht="14.25" hidden="false" customHeight="true" outlineLevel="0" collapsed="false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customFormat="false" ht="14.25" hidden="false" customHeight="true" outlineLevel="0" collapsed="false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customFormat="false" ht="14.25" hidden="false" customHeight="true" outlineLevel="0" collapsed="false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customFormat="false" ht="14.25" hidden="false" customHeight="true" outlineLevel="0" collapsed="false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customFormat="false" ht="14.25" hidden="false" customHeight="true" outlineLevel="0" collapsed="false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customFormat="false" ht="14.25" hidden="false" customHeight="true" outlineLevel="0" collapsed="false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customFormat="false" ht="14.25" hidden="false" customHeight="true" outlineLevel="0" collapsed="false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customFormat="false" ht="14.25" hidden="false" customHeight="true" outlineLevel="0" collapsed="false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customFormat="false" ht="14.25" hidden="false" customHeight="true" outlineLevel="0" collapsed="false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customFormat="false" ht="14.25" hidden="false" customHeight="true" outlineLevel="0" collapsed="false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customFormat="false" ht="14.25" hidden="false" customHeight="true" outlineLevel="0" collapsed="false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customFormat="false" ht="14.25" hidden="false" customHeight="true" outlineLevel="0" collapsed="false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customFormat="false" ht="14.25" hidden="false" customHeight="true" outlineLevel="0" collapsed="false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customFormat="false" ht="14.25" hidden="false" customHeight="true" outlineLevel="0" collapsed="false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customFormat="false" ht="14.25" hidden="false" customHeight="true" outlineLevel="0" collapsed="false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customFormat="false" ht="14.25" hidden="false" customHeight="true" outlineLevel="0" collapsed="false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customFormat="false" ht="14.25" hidden="false" customHeight="true" outlineLevel="0" collapsed="false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customFormat="false" ht="14.25" hidden="false" customHeight="true" outlineLevel="0" collapsed="false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customFormat="false" ht="14.25" hidden="false" customHeight="true" outlineLevel="0" collapsed="false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customFormat="false" ht="14.25" hidden="false" customHeight="true" outlineLevel="0" collapsed="false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customFormat="false" ht="14.25" hidden="false" customHeight="true" outlineLevel="0" collapsed="false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customFormat="false" ht="14.25" hidden="false" customHeight="true" outlineLevel="0" collapsed="false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customFormat="false" ht="14.25" hidden="false" customHeight="true" outlineLevel="0" collapsed="false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customFormat="false" ht="14.25" hidden="false" customHeight="true" outlineLevel="0" collapsed="false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customFormat="false" ht="14.25" hidden="false" customHeight="true" outlineLevel="0" collapsed="false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customFormat="false" ht="14.25" hidden="false" customHeight="true" outlineLevel="0" collapsed="false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customFormat="false" ht="14.25" hidden="false" customHeight="true" outlineLevel="0" collapsed="false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customFormat="false" ht="14.25" hidden="false" customHeight="true" outlineLevel="0" collapsed="false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customFormat="false" ht="14.25" hidden="false" customHeight="true" outlineLevel="0" collapsed="false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customFormat="false" ht="14.25" hidden="false" customHeight="true" outlineLevel="0" collapsed="false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customFormat="false" ht="14.25" hidden="false" customHeight="true" outlineLevel="0" collapsed="false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customFormat="false" ht="14.25" hidden="false" customHeight="true" outlineLevel="0" collapsed="false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customFormat="false" ht="14.25" hidden="false" customHeight="true" outlineLevel="0" collapsed="false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customFormat="false" ht="14.25" hidden="false" customHeight="true" outlineLevel="0" collapsed="false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customFormat="false" ht="14.25" hidden="false" customHeight="true" outlineLevel="0" collapsed="false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customFormat="false" ht="14.25" hidden="false" customHeight="true" outlineLevel="0" collapsed="false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customFormat="false" ht="14.25" hidden="false" customHeight="true" outlineLevel="0" collapsed="false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customFormat="false" ht="14.25" hidden="false" customHeight="true" outlineLevel="0" collapsed="false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customFormat="false" ht="14.25" hidden="false" customHeight="true" outlineLevel="0" collapsed="false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customFormat="false" ht="14.25" hidden="false" customHeight="true" outlineLevel="0" collapsed="false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customFormat="false" ht="14.25" hidden="false" customHeight="true" outlineLevel="0" collapsed="false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customFormat="false" ht="14.25" hidden="false" customHeight="true" outlineLevel="0" collapsed="false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customFormat="false" ht="14.25" hidden="false" customHeight="true" outlineLevel="0" collapsed="false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customFormat="false" ht="14.25" hidden="false" customHeight="true" outlineLevel="0" collapsed="false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customFormat="false" ht="14.25" hidden="false" customHeight="true" outlineLevel="0" collapsed="false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customFormat="false" ht="14.25" hidden="false" customHeight="true" outlineLevel="0" collapsed="false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customFormat="false" ht="14.25" hidden="false" customHeight="true" outlineLevel="0" collapsed="false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customFormat="false" ht="14.25" hidden="false" customHeight="true" outlineLevel="0" collapsed="false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customFormat="false" ht="14.25" hidden="false" customHeight="true" outlineLevel="0" collapsed="false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customFormat="false" ht="14.25" hidden="false" customHeight="true" outlineLevel="0" collapsed="false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customFormat="false" ht="14.25" hidden="false" customHeight="true" outlineLevel="0" collapsed="false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customFormat="false" ht="14.25" hidden="false" customHeight="true" outlineLevel="0" collapsed="false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customFormat="false" ht="14.25" hidden="false" customHeight="true" outlineLevel="0" collapsed="false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customFormat="false" ht="14.25" hidden="false" customHeight="true" outlineLevel="0" collapsed="false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customFormat="false" ht="14.25" hidden="false" customHeight="true" outlineLevel="0" collapsed="false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customFormat="false" ht="14.25" hidden="false" customHeight="true" outlineLevel="0" collapsed="false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customFormat="false" ht="14.25" hidden="false" customHeight="true" outlineLevel="0" collapsed="false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customFormat="false" ht="14.25" hidden="false" customHeight="true" outlineLevel="0" collapsed="false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customFormat="false" ht="14.25" hidden="false" customHeight="true" outlineLevel="0" collapsed="false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customFormat="false" ht="14.25" hidden="false" customHeight="true" outlineLevel="0" collapsed="false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customFormat="false" ht="14.25" hidden="false" customHeight="true" outlineLevel="0" collapsed="false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customFormat="false" ht="14.25" hidden="false" customHeight="true" outlineLevel="0" collapsed="false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customFormat="false" ht="14.25" hidden="false" customHeight="true" outlineLevel="0" collapsed="false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customFormat="false" ht="14.25" hidden="false" customHeight="true" outlineLevel="0" collapsed="false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customFormat="false" ht="14.25" hidden="false" customHeight="true" outlineLevel="0" collapsed="false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customFormat="false" ht="14.25" hidden="false" customHeight="true" outlineLevel="0" collapsed="false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customFormat="false" ht="14.25" hidden="false" customHeight="true" outlineLevel="0" collapsed="false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customFormat="false" ht="14.25" hidden="false" customHeight="true" outlineLevel="0" collapsed="false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customFormat="false" ht="14.25" hidden="false" customHeight="true" outlineLevel="0" collapsed="false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customFormat="false" ht="14.25" hidden="false" customHeight="true" outlineLevel="0" collapsed="false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customFormat="false" ht="14.25" hidden="false" customHeight="true" outlineLevel="0" collapsed="false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customFormat="false" ht="14.25" hidden="false" customHeight="true" outlineLevel="0" collapsed="false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customFormat="false" ht="14.25" hidden="false" customHeight="true" outlineLevel="0" collapsed="false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customFormat="false" ht="14.25" hidden="false" customHeight="true" outlineLevel="0" collapsed="false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customFormat="false" ht="14.25" hidden="false" customHeight="true" outlineLevel="0" collapsed="false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customFormat="false" ht="14.25" hidden="false" customHeight="true" outlineLevel="0" collapsed="false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customFormat="false" ht="14.25" hidden="false" customHeight="true" outlineLevel="0" collapsed="false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customFormat="false" ht="14.25" hidden="false" customHeight="true" outlineLevel="0" collapsed="false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customFormat="false" ht="14.25" hidden="false" customHeight="true" outlineLevel="0" collapsed="false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customFormat="false" ht="14.25" hidden="false" customHeight="true" outlineLevel="0" collapsed="false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customFormat="false" ht="14.25" hidden="false" customHeight="true" outlineLevel="0" collapsed="false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customFormat="false" ht="14.25" hidden="false" customHeight="true" outlineLevel="0" collapsed="false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customFormat="false" ht="14.25" hidden="false" customHeight="true" outlineLevel="0" collapsed="false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customFormat="false" ht="14.25" hidden="false" customHeight="true" outlineLevel="0" collapsed="false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customFormat="false" ht="14.25" hidden="false" customHeight="true" outlineLevel="0" collapsed="false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customFormat="false" ht="14.25" hidden="false" customHeight="true" outlineLevel="0" collapsed="false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customFormat="false" ht="14.25" hidden="false" customHeight="true" outlineLevel="0" collapsed="false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customFormat="false" ht="14.25" hidden="false" customHeight="true" outlineLevel="0" collapsed="false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customFormat="false" ht="14.25" hidden="false" customHeight="true" outlineLevel="0" collapsed="false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customFormat="false" ht="14.25" hidden="false" customHeight="true" outlineLevel="0" collapsed="false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customFormat="false" ht="14.25" hidden="false" customHeight="true" outlineLevel="0" collapsed="false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customFormat="false" ht="14.25" hidden="false" customHeight="true" outlineLevel="0" collapsed="false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customFormat="false" ht="14.25" hidden="false" customHeight="true" outlineLevel="0" collapsed="false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customFormat="false" ht="14.25" hidden="false" customHeight="true" outlineLevel="0" collapsed="false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customFormat="false" ht="14.25" hidden="false" customHeight="true" outlineLevel="0" collapsed="false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customFormat="false" ht="14.25" hidden="false" customHeight="true" outlineLevel="0" collapsed="false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customFormat="false" ht="14.25" hidden="false" customHeight="true" outlineLevel="0" collapsed="false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customFormat="false" ht="14.25" hidden="false" customHeight="true" outlineLevel="0" collapsed="false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customFormat="false" ht="14.25" hidden="false" customHeight="true" outlineLevel="0" collapsed="false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customFormat="false" ht="14.25" hidden="false" customHeight="true" outlineLevel="0" collapsed="false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customFormat="false" ht="14.25" hidden="false" customHeight="true" outlineLevel="0" collapsed="false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customFormat="false" ht="14.25" hidden="false" customHeight="true" outlineLevel="0" collapsed="false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customFormat="false" ht="14.25" hidden="false" customHeight="true" outlineLevel="0" collapsed="false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customFormat="false" ht="14.25" hidden="false" customHeight="true" outlineLevel="0" collapsed="false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customFormat="false" ht="14.25" hidden="false" customHeight="true" outlineLevel="0" collapsed="false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customFormat="false" ht="14.25" hidden="false" customHeight="true" outlineLevel="0" collapsed="false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customFormat="false" ht="14.25" hidden="false" customHeight="true" outlineLevel="0" collapsed="false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customFormat="false" ht="14.25" hidden="false" customHeight="true" outlineLevel="0" collapsed="false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customFormat="false" ht="14.25" hidden="false" customHeight="true" outlineLevel="0" collapsed="false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customFormat="false" ht="14.25" hidden="false" customHeight="true" outlineLevel="0" collapsed="false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customFormat="false" ht="14.25" hidden="false" customHeight="true" outlineLevel="0" collapsed="false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customFormat="false" ht="14.25" hidden="false" customHeight="true" outlineLevel="0" collapsed="false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customFormat="false" ht="14.25" hidden="false" customHeight="true" outlineLevel="0" collapsed="false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customFormat="false" ht="14.25" hidden="false" customHeight="true" outlineLevel="0" collapsed="false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customFormat="false" ht="14.25" hidden="false" customHeight="true" outlineLevel="0" collapsed="false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customFormat="false" ht="14.25" hidden="false" customHeight="true" outlineLevel="0" collapsed="false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customFormat="false" ht="14.25" hidden="false" customHeight="true" outlineLevel="0" collapsed="false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customFormat="false" ht="14.25" hidden="false" customHeight="true" outlineLevel="0" collapsed="false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customFormat="false" ht="14.25" hidden="false" customHeight="true" outlineLevel="0" collapsed="false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customFormat="false" ht="14.25" hidden="false" customHeight="true" outlineLevel="0" collapsed="false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customFormat="false" ht="14.25" hidden="false" customHeight="true" outlineLevel="0" collapsed="false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customFormat="false" ht="14.25" hidden="false" customHeight="true" outlineLevel="0" collapsed="false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customFormat="false" ht="14.25" hidden="false" customHeight="true" outlineLevel="0" collapsed="false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customFormat="false" ht="14.25" hidden="false" customHeight="true" outlineLevel="0" collapsed="false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customFormat="false" ht="14.25" hidden="false" customHeight="true" outlineLevel="0" collapsed="false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customFormat="false" ht="14.25" hidden="false" customHeight="true" outlineLevel="0" collapsed="false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customFormat="false" ht="14.25" hidden="false" customHeight="true" outlineLevel="0" collapsed="false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customFormat="false" ht="14.25" hidden="false" customHeight="true" outlineLevel="0" collapsed="false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customFormat="false" ht="14.25" hidden="false" customHeight="true" outlineLevel="0" collapsed="false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customFormat="false" ht="14.25" hidden="false" customHeight="true" outlineLevel="0" collapsed="false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customFormat="false" ht="14.25" hidden="false" customHeight="true" outlineLevel="0" collapsed="false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customFormat="false" ht="14.25" hidden="false" customHeight="true" outlineLevel="0" collapsed="false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customFormat="false" ht="14.25" hidden="false" customHeight="true" outlineLevel="0" collapsed="false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customFormat="false" ht="14.25" hidden="false" customHeight="true" outlineLevel="0" collapsed="false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customFormat="false" ht="14.25" hidden="false" customHeight="true" outlineLevel="0" collapsed="false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customFormat="false" ht="14.25" hidden="false" customHeight="true" outlineLevel="0" collapsed="false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customFormat="false" ht="14.25" hidden="false" customHeight="true" outlineLevel="0" collapsed="false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customFormat="false" ht="14.25" hidden="false" customHeight="true" outlineLevel="0" collapsed="false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customFormat="false" ht="14.25" hidden="false" customHeight="true" outlineLevel="0" collapsed="false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customFormat="false" ht="14.25" hidden="false" customHeight="true" outlineLevel="0" collapsed="false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customFormat="false" ht="14.25" hidden="false" customHeight="true" outlineLevel="0" collapsed="false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customFormat="false" ht="14.25" hidden="false" customHeight="true" outlineLevel="0" collapsed="false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customFormat="false" ht="14.25" hidden="false" customHeight="true" outlineLevel="0" collapsed="false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customFormat="false" ht="14.25" hidden="false" customHeight="true" outlineLevel="0" collapsed="false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customFormat="false" ht="14.25" hidden="false" customHeight="true" outlineLevel="0" collapsed="false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customFormat="false" ht="14.25" hidden="false" customHeight="true" outlineLevel="0" collapsed="false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customFormat="false" ht="14.25" hidden="false" customHeight="true" outlineLevel="0" collapsed="false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customFormat="false" ht="14.25" hidden="false" customHeight="true" outlineLevel="0" collapsed="false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customFormat="false" ht="14.25" hidden="false" customHeight="true" outlineLevel="0" collapsed="false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customFormat="false" ht="14.25" hidden="false" customHeight="true" outlineLevel="0" collapsed="false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customFormat="false" ht="14.25" hidden="false" customHeight="true" outlineLevel="0" collapsed="false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customFormat="false" ht="14.25" hidden="false" customHeight="true" outlineLevel="0" collapsed="false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customFormat="false" ht="14.25" hidden="false" customHeight="true" outlineLevel="0" collapsed="false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customFormat="false" ht="14.25" hidden="false" customHeight="true" outlineLevel="0" collapsed="false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customFormat="false" ht="14.25" hidden="false" customHeight="true" outlineLevel="0" collapsed="false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customFormat="false" ht="14.25" hidden="false" customHeight="true" outlineLevel="0" collapsed="false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customFormat="false" ht="14.25" hidden="false" customHeight="true" outlineLevel="0" collapsed="false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customFormat="false" ht="14.25" hidden="false" customHeight="true" outlineLevel="0" collapsed="false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customFormat="false" ht="14.25" hidden="false" customHeight="true" outlineLevel="0" collapsed="false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customFormat="false" ht="14.25" hidden="false" customHeight="true" outlineLevel="0" collapsed="false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customFormat="false" ht="14.25" hidden="false" customHeight="true" outlineLevel="0" collapsed="false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customFormat="false" ht="14.25" hidden="false" customHeight="true" outlineLevel="0" collapsed="false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customFormat="false" ht="14.25" hidden="false" customHeight="true" outlineLevel="0" collapsed="false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customFormat="false" ht="14.25" hidden="false" customHeight="true" outlineLevel="0" collapsed="false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customFormat="false" ht="14.25" hidden="false" customHeight="true" outlineLevel="0" collapsed="false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customFormat="false" ht="14.25" hidden="false" customHeight="true" outlineLevel="0" collapsed="false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customFormat="false" ht="14.25" hidden="false" customHeight="true" outlineLevel="0" collapsed="false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customFormat="false" ht="14.25" hidden="false" customHeight="true" outlineLevel="0" collapsed="false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customFormat="false" ht="14.25" hidden="false" customHeight="true" outlineLevel="0" collapsed="false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customFormat="false" ht="14.25" hidden="false" customHeight="true" outlineLevel="0" collapsed="false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customFormat="false" ht="14.25" hidden="false" customHeight="true" outlineLevel="0" collapsed="false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customFormat="false" ht="14.25" hidden="false" customHeight="true" outlineLevel="0" collapsed="false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customFormat="false" ht="14.25" hidden="false" customHeight="true" outlineLevel="0" collapsed="false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customFormat="false" ht="14.25" hidden="false" customHeight="true" outlineLevel="0" collapsed="false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customFormat="false" ht="14.25" hidden="false" customHeight="true" outlineLevel="0" collapsed="false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customFormat="false" ht="14.25" hidden="false" customHeight="true" outlineLevel="0" collapsed="false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customFormat="false" ht="14.25" hidden="false" customHeight="true" outlineLevel="0" collapsed="false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customFormat="false" ht="14.25" hidden="false" customHeight="true" outlineLevel="0" collapsed="false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customFormat="false" ht="14.25" hidden="false" customHeight="true" outlineLevel="0" collapsed="false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customFormat="false" ht="14.25" hidden="false" customHeight="true" outlineLevel="0" collapsed="false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customFormat="false" ht="14.25" hidden="false" customHeight="true" outlineLevel="0" collapsed="false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customFormat="false" ht="14.25" hidden="false" customHeight="true" outlineLevel="0" collapsed="false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customFormat="false" ht="14.25" hidden="false" customHeight="true" outlineLevel="0" collapsed="false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customFormat="false" ht="14.25" hidden="false" customHeight="true" outlineLevel="0" collapsed="false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customFormat="false" ht="14.25" hidden="false" customHeight="true" outlineLevel="0" collapsed="false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customFormat="false" ht="14.25" hidden="false" customHeight="true" outlineLevel="0" collapsed="false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customFormat="false" ht="14.25" hidden="false" customHeight="true" outlineLevel="0" collapsed="false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customFormat="false" ht="14.25" hidden="false" customHeight="true" outlineLevel="0" collapsed="false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customFormat="false" ht="14.25" hidden="false" customHeight="true" outlineLevel="0" collapsed="false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customFormat="false" ht="14.25" hidden="false" customHeight="true" outlineLevel="0" collapsed="false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customFormat="false" ht="14.25" hidden="false" customHeight="true" outlineLevel="0" collapsed="false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customFormat="false" ht="14.25" hidden="false" customHeight="true" outlineLevel="0" collapsed="false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customFormat="false" ht="14.25" hidden="false" customHeight="true" outlineLevel="0" collapsed="false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customFormat="false" ht="14.25" hidden="false" customHeight="true" outlineLevel="0" collapsed="false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customFormat="false" ht="14.25" hidden="false" customHeight="true" outlineLevel="0" collapsed="false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customFormat="false" ht="14.25" hidden="false" customHeight="true" outlineLevel="0" collapsed="false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customFormat="false" ht="14.25" hidden="false" customHeight="true" outlineLevel="0" collapsed="false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customFormat="false" ht="14.25" hidden="false" customHeight="true" outlineLevel="0" collapsed="false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customFormat="false" ht="14.25" hidden="false" customHeight="true" outlineLevel="0" collapsed="false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customFormat="false" ht="14.25" hidden="false" customHeight="true" outlineLevel="0" collapsed="false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customFormat="false" ht="14.25" hidden="false" customHeight="true" outlineLevel="0" collapsed="false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customFormat="false" ht="14.25" hidden="false" customHeight="true" outlineLevel="0" collapsed="false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customFormat="false" ht="14.25" hidden="false" customHeight="true" outlineLevel="0" collapsed="false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customFormat="false" ht="14.25" hidden="false" customHeight="true" outlineLevel="0" collapsed="false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customFormat="false" ht="14.25" hidden="false" customHeight="true" outlineLevel="0" collapsed="false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customFormat="false" ht="14.25" hidden="false" customHeight="true" outlineLevel="0" collapsed="false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customFormat="false" ht="14.25" hidden="false" customHeight="true" outlineLevel="0" collapsed="false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customFormat="false" ht="14.25" hidden="false" customHeight="true" outlineLevel="0" collapsed="false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customFormat="false" ht="14.25" hidden="false" customHeight="true" outlineLevel="0" collapsed="false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customFormat="false" ht="14.25" hidden="false" customHeight="true" outlineLevel="0" collapsed="false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customFormat="false" ht="14.25" hidden="false" customHeight="true" outlineLevel="0" collapsed="false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customFormat="false" ht="14.25" hidden="false" customHeight="true" outlineLevel="0" collapsed="false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customFormat="false" ht="14.25" hidden="false" customHeight="true" outlineLevel="0" collapsed="false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customFormat="false" ht="14.25" hidden="false" customHeight="true" outlineLevel="0" collapsed="false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customFormat="false" ht="14.25" hidden="false" customHeight="true" outlineLevel="0" collapsed="false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customFormat="false" ht="14.25" hidden="false" customHeight="true" outlineLevel="0" collapsed="false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customFormat="false" ht="14.25" hidden="false" customHeight="true" outlineLevel="0" collapsed="false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customFormat="false" ht="14.25" hidden="false" customHeight="true" outlineLevel="0" collapsed="false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customFormat="false" ht="14.25" hidden="false" customHeight="true" outlineLevel="0" collapsed="false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customFormat="false" ht="14.25" hidden="false" customHeight="true" outlineLevel="0" collapsed="false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customFormat="false" ht="14.25" hidden="false" customHeight="true" outlineLevel="0" collapsed="false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customFormat="false" ht="14.25" hidden="false" customHeight="true" outlineLevel="0" collapsed="false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customFormat="false" ht="14.25" hidden="false" customHeight="true" outlineLevel="0" collapsed="false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customFormat="false" ht="14.25" hidden="false" customHeight="true" outlineLevel="0" collapsed="false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customFormat="false" ht="14.25" hidden="false" customHeight="true" outlineLevel="0" collapsed="false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customFormat="false" ht="14.25" hidden="false" customHeight="true" outlineLevel="0" collapsed="false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customFormat="false" ht="14.25" hidden="false" customHeight="true" outlineLevel="0" collapsed="false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customFormat="false" ht="14.25" hidden="false" customHeight="true" outlineLevel="0" collapsed="false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customFormat="false" ht="14.25" hidden="false" customHeight="true" outlineLevel="0" collapsed="false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customFormat="false" ht="14.25" hidden="false" customHeight="true" outlineLevel="0" collapsed="false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customFormat="false" ht="14.25" hidden="false" customHeight="true" outlineLevel="0" collapsed="false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customFormat="false" ht="14.25" hidden="false" customHeight="true" outlineLevel="0" collapsed="false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customFormat="false" ht="14.25" hidden="false" customHeight="true" outlineLevel="0" collapsed="false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customFormat="false" ht="14.25" hidden="false" customHeight="true" outlineLevel="0" collapsed="false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customFormat="false" ht="14.25" hidden="false" customHeight="true" outlineLevel="0" collapsed="false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customFormat="false" ht="14.25" hidden="false" customHeight="true" outlineLevel="0" collapsed="false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customFormat="false" ht="14.25" hidden="false" customHeight="true" outlineLevel="0" collapsed="false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customFormat="false" ht="14.25" hidden="false" customHeight="true" outlineLevel="0" collapsed="false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customFormat="false" ht="14.25" hidden="false" customHeight="true" outlineLevel="0" collapsed="false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customFormat="false" ht="14.25" hidden="false" customHeight="true" outlineLevel="0" collapsed="false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customFormat="false" ht="14.25" hidden="false" customHeight="true" outlineLevel="0" collapsed="false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customFormat="false" ht="14.25" hidden="false" customHeight="true" outlineLevel="0" collapsed="false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customFormat="false" ht="14.25" hidden="false" customHeight="true" outlineLevel="0" collapsed="false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customFormat="false" ht="14.25" hidden="false" customHeight="true" outlineLevel="0" collapsed="false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customFormat="false" ht="14.25" hidden="false" customHeight="true" outlineLevel="0" collapsed="false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customFormat="false" ht="14.25" hidden="false" customHeight="true" outlineLevel="0" collapsed="false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customFormat="false" ht="14.25" hidden="false" customHeight="true" outlineLevel="0" collapsed="false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customFormat="false" ht="14.25" hidden="false" customHeight="true" outlineLevel="0" collapsed="false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customFormat="false" ht="14.25" hidden="false" customHeight="true" outlineLevel="0" collapsed="false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customFormat="false" ht="14.25" hidden="false" customHeight="true" outlineLevel="0" collapsed="false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customFormat="false" ht="14.25" hidden="false" customHeight="true" outlineLevel="0" collapsed="false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customFormat="false" ht="14.25" hidden="false" customHeight="true" outlineLevel="0" collapsed="false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customFormat="false" ht="14.25" hidden="false" customHeight="true" outlineLevel="0" collapsed="false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customFormat="false" ht="14.25" hidden="false" customHeight="true" outlineLevel="0" collapsed="false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customFormat="false" ht="14.25" hidden="false" customHeight="true" outlineLevel="0" collapsed="false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customFormat="false" ht="14.25" hidden="false" customHeight="true" outlineLevel="0" collapsed="false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customFormat="false" ht="14.25" hidden="false" customHeight="true" outlineLevel="0" collapsed="false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customFormat="false" ht="14.25" hidden="false" customHeight="true" outlineLevel="0" collapsed="false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customFormat="false" ht="14.25" hidden="false" customHeight="true" outlineLevel="0" collapsed="false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customFormat="false" ht="14.25" hidden="false" customHeight="true" outlineLevel="0" collapsed="false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customFormat="false" ht="14.25" hidden="false" customHeight="true" outlineLevel="0" collapsed="false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customFormat="false" ht="14.25" hidden="false" customHeight="true" outlineLevel="0" collapsed="false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customFormat="false" ht="14.25" hidden="false" customHeight="true" outlineLevel="0" collapsed="false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customFormat="false" ht="14.25" hidden="false" customHeight="true" outlineLevel="0" collapsed="false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customFormat="false" ht="14.25" hidden="false" customHeight="true" outlineLevel="0" collapsed="false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customFormat="false" ht="14.25" hidden="false" customHeight="true" outlineLevel="0" collapsed="false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customFormat="false" ht="14.25" hidden="false" customHeight="true" outlineLevel="0" collapsed="false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customFormat="false" ht="14.25" hidden="false" customHeight="true" outlineLevel="0" collapsed="false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customFormat="false" ht="14.25" hidden="false" customHeight="true" outlineLevel="0" collapsed="false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customFormat="false" ht="14.25" hidden="false" customHeight="true" outlineLevel="0" collapsed="false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customFormat="false" ht="14.25" hidden="false" customHeight="true" outlineLevel="0" collapsed="false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customFormat="false" ht="14.25" hidden="false" customHeight="true" outlineLevel="0" collapsed="false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customFormat="false" ht="14.25" hidden="false" customHeight="true" outlineLevel="0" collapsed="false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customFormat="false" ht="14.25" hidden="false" customHeight="true" outlineLevel="0" collapsed="false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customFormat="false" ht="14.25" hidden="false" customHeight="true" outlineLevel="0" collapsed="false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customFormat="false" ht="14.25" hidden="false" customHeight="true" outlineLevel="0" collapsed="false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customFormat="false" ht="14.25" hidden="false" customHeight="true" outlineLevel="0" collapsed="false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customFormat="false" ht="14.25" hidden="false" customHeight="true" outlineLevel="0" collapsed="false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customFormat="false" ht="14.25" hidden="false" customHeight="true" outlineLevel="0" collapsed="false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customFormat="false" ht="14.25" hidden="false" customHeight="true" outlineLevel="0" collapsed="false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customFormat="false" ht="14.25" hidden="false" customHeight="true" outlineLevel="0" collapsed="false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customFormat="false" ht="14.25" hidden="false" customHeight="true" outlineLevel="0" collapsed="false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customFormat="false" ht="14.25" hidden="false" customHeight="true" outlineLevel="0" collapsed="false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customFormat="false" ht="14.25" hidden="false" customHeight="true" outlineLevel="0" collapsed="false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customFormat="false" ht="14.25" hidden="false" customHeight="true" outlineLevel="0" collapsed="false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customFormat="false" ht="14.25" hidden="false" customHeight="true" outlineLevel="0" collapsed="false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customFormat="false" ht="14.25" hidden="false" customHeight="true" outlineLevel="0" collapsed="false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customFormat="false" ht="14.25" hidden="false" customHeight="true" outlineLevel="0" collapsed="false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customFormat="false" ht="14.25" hidden="false" customHeight="true" outlineLevel="0" collapsed="false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customFormat="false" ht="14.25" hidden="false" customHeight="true" outlineLevel="0" collapsed="false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customFormat="false" ht="14.25" hidden="false" customHeight="true" outlineLevel="0" collapsed="false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customFormat="false" ht="14.25" hidden="false" customHeight="true" outlineLevel="0" collapsed="false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customFormat="false" ht="14.25" hidden="false" customHeight="true" outlineLevel="0" collapsed="false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customFormat="false" ht="14.25" hidden="false" customHeight="true" outlineLevel="0" collapsed="false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customFormat="false" ht="14.25" hidden="false" customHeight="true" outlineLevel="0" collapsed="false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customFormat="false" ht="14.25" hidden="false" customHeight="true" outlineLevel="0" collapsed="false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customFormat="false" ht="14.25" hidden="false" customHeight="true" outlineLevel="0" collapsed="false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customFormat="false" ht="14.25" hidden="false" customHeight="true" outlineLevel="0" collapsed="false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customFormat="false" ht="14.25" hidden="false" customHeight="true" outlineLevel="0" collapsed="false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customFormat="false" ht="14.25" hidden="false" customHeight="true" outlineLevel="0" collapsed="false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customFormat="false" ht="14.25" hidden="false" customHeight="true" outlineLevel="0" collapsed="false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customFormat="false" ht="14.25" hidden="false" customHeight="true" outlineLevel="0" collapsed="false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customFormat="false" ht="14.25" hidden="false" customHeight="true" outlineLevel="0" collapsed="false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customFormat="false" ht="14.25" hidden="false" customHeight="true" outlineLevel="0" collapsed="false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customFormat="false" ht="14.25" hidden="false" customHeight="true" outlineLevel="0" collapsed="false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customFormat="false" ht="14.25" hidden="false" customHeight="true" outlineLevel="0" collapsed="false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customFormat="false" ht="14.25" hidden="false" customHeight="true" outlineLevel="0" collapsed="false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customFormat="false" ht="14.25" hidden="false" customHeight="true" outlineLevel="0" collapsed="false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customFormat="false" ht="14.25" hidden="false" customHeight="true" outlineLevel="0" collapsed="false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customFormat="false" ht="14.25" hidden="false" customHeight="true" outlineLevel="0" collapsed="false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customFormat="false" ht="14.25" hidden="false" customHeight="true" outlineLevel="0" collapsed="false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customFormat="false" ht="14.25" hidden="false" customHeight="true" outlineLevel="0" collapsed="false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customFormat="false" ht="14.25" hidden="false" customHeight="true" outlineLevel="0" collapsed="false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customFormat="false" ht="14.25" hidden="false" customHeight="true" outlineLevel="0" collapsed="false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customFormat="false" ht="14.25" hidden="false" customHeight="true" outlineLevel="0" collapsed="false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customFormat="false" ht="14.25" hidden="false" customHeight="true" outlineLevel="0" collapsed="false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customFormat="false" ht="14.25" hidden="false" customHeight="true" outlineLevel="0" collapsed="false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customFormat="false" ht="14.25" hidden="false" customHeight="true" outlineLevel="0" collapsed="false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customFormat="false" ht="14.25" hidden="false" customHeight="true" outlineLevel="0" collapsed="false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customFormat="false" ht="14.25" hidden="false" customHeight="true" outlineLevel="0" collapsed="false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customFormat="false" ht="14.25" hidden="false" customHeight="true" outlineLevel="0" collapsed="false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customFormat="false" ht="14.25" hidden="false" customHeight="true" outlineLevel="0" collapsed="false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customFormat="false" ht="14.25" hidden="false" customHeight="true" outlineLevel="0" collapsed="false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customFormat="false" ht="14.25" hidden="false" customHeight="true" outlineLevel="0" collapsed="false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customFormat="false" ht="14.25" hidden="false" customHeight="true" outlineLevel="0" collapsed="false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customFormat="false" ht="14.25" hidden="false" customHeight="true" outlineLevel="0" collapsed="false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customFormat="false" ht="14.25" hidden="false" customHeight="true" outlineLevel="0" collapsed="false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customFormat="false" ht="14.25" hidden="false" customHeight="true" outlineLevel="0" collapsed="false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customFormat="false" ht="14.25" hidden="false" customHeight="true" outlineLevel="0" collapsed="false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customFormat="false" ht="14.25" hidden="false" customHeight="true" outlineLevel="0" collapsed="false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customFormat="false" ht="14.25" hidden="false" customHeight="true" outlineLevel="0" collapsed="false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customFormat="false" ht="14.25" hidden="false" customHeight="true" outlineLevel="0" collapsed="false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customFormat="false" ht="14.25" hidden="false" customHeight="true" outlineLevel="0" collapsed="false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customFormat="false" ht="14.25" hidden="false" customHeight="true" outlineLevel="0" collapsed="false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customFormat="false" ht="14.25" hidden="false" customHeight="true" outlineLevel="0" collapsed="false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customFormat="false" ht="14.25" hidden="false" customHeight="true" outlineLevel="0" collapsed="false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customFormat="false" ht="14.25" hidden="false" customHeight="true" outlineLevel="0" collapsed="false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customFormat="false" ht="14.25" hidden="false" customHeight="true" outlineLevel="0" collapsed="false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customFormat="false" ht="14.25" hidden="false" customHeight="true" outlineLevel="0" collapsed="false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customFormat="false" ht="14.25" hidden="false" customHeight="true" outlineLevel="0" collapsed="false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customFormat="false" ht="14.25" hidden="false" customHeight="true" outlineLevel="0" collapsed="false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1">
    <mergeCell ref="B6:S9"/>
    <mergeCell ref="B11:M11"/>
    <mergeCell ref="B13:M13"/>
    <mergeCell ref="O13:S13"/>
    <mergeCell ref="O14:S14"/>
    <mergeCell ref="B15:M15"/>
    <mergeCell ref="O15:S15"/>
    <mergeCell ref="O16:S16"/>
    <mergeCell ref="B17:M17"/>
    <mergeCell ref="B19:S21"/>
    <mergeCell ref="D46:H46"/>
  </mergeCells>
  <printOptions headings="false" gridLines="false" gridLinesSet="true" horizontalCentered="false" verticalCentered="false"/>
  <pageMargins left="0.39375" right="0.39375" top="0.984027777777778" bottom="0.39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8000"/>
    <pageSetUpPr fitToPage="true"/>
  </sheetPr>
  <dimension ref="A1:AJ1000"/>
  <sheetViews>
    <sheetView showFormulas="false" showGridLines="true" showRowColHeaders="true" showZeros="true" rightToLeft="false" tabSelected="true" showOutlineSymbols="true" defaultGridColor="true" view="normal" topLeftCell="E1" colorId="64" zoomScale="100" zoomScaleNormal="100" zoomScalePageLayoutView="100" workbookViewId="0">
      <selection pane="topLeft" activeCell="R15" activeCellId="0" sqref="R15"/>
    </sheetView>
  </sheetViews>
  <sheetFormatPr defaultColWidth="12.64062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0" width="14.88"/>
    <col collapsed="false" customWidth="true" hidden="false" outlineLevel="0" max="3" min="3" style="0" width="13.37"/>
    <col collapsed="false" customWidth="true" hidden="false" outlineLevel="0" max="4" min="4" style="0" width="79.5"/>
    <col collapsed="false" customWidth="true" hidden="false" outlineLevel="0" max="5" min="5" style="0" width="9"/>
    <col collapsed="false" customWidth="true" hidden="false" outlineLevel="0" max="6" min="6" style="0" width="10.76"/>
    <col collapsed="false" customWidth="true" hidden="true" outlineLevel="0" max="7" min="7" style="0" width="15.26"/>
    <col collapsed="false" customWidth="true" hidden="true" outlineLevel="0" max="8" min="8" style="0" width="14.13"/>
    <col collapsed="false" customWidth="true" hidden="true" outlineLevel="0" max="9" min="9" style="0" width="14.24"/>
    <col collapsed="false" customWidth="true" hidden="true" outlineLevel="0" max="10" min="10" style="0" width="14.13"/>
    <col collapsed="false" customWidth="true" hidden="true" outlineLevel="0" max="11" min="11" style="0" width="12.37"/>
    <col collapsed="false" customWidth="true" hidden="false" outlineLevel="0" max="12" min="12" style="0" width="15.26"/>
    <col collapsed="false" customWidth="true" hidden="false" outlineLevel="0" max="13" min="13" style="0" width="19.5"/>
    <col collapsed="false" customWidth="true" hidden="false" outlineLevel="0" max="14" min="14" style="0" width="8.38"/>
    <col collapsed="false" customWidth="true" hidden="false" outlineLevel="0" max="15" min="15" style="0" width="23.38"/>
    <col collapsed="false" customWidth="true" hidden="false" outlineLevel="0" max="16" min="16" style="0" width="10.88"/>
    <col collapsed="false" customWidth="true" hidden="false" outlineLevel="0" max="17" min="17" style="0" width="4.5"/>
    <col collapsed="false" customWidth="true" hidden="false" outlineLevel="0" max="18" min="18" style="0" width="16.87"/>
    <col collapsed="false" customWidth="true" hidden="false" outlineLevel="0" max="19" min="19" style="0" width="13.63"/>
    <col collapsed="false" customWidth="true" hidden="false" outlineLevel="0" max="36" min="20" style="0" width="11.5"/>
  </cols>
  <sheetData>
    <row r="1" customFormat="false" ht="14.25" hidden="false" customHeight="true" outlineLevel="0" collapsed="false">
      <c r="A1" s="28"/>
      <c r="B1" s="19"/>
      <c r="C1" s="29" t="s">
        <v>20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30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</row>
    <row r="2" customFormat="false" ht="14.25" hidden="false" customHeight="true" outlineLevel="0" collapsed="false">
      <c r="A2" s="32"/>
      <c r="B2" s="32"/>
      <c r="C2" s="32"/>
      <c r="D2" s="33" t="str">
        <f aca="false">FOLHA_ROSTO!$B$11</f>
        <v>UNIVERSIDADE FEDERAL DA FRONTEIRA SUL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0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</row>
    <row r="3" customFormat="false" ht="14.25" hidden="false" customHeight="true" outlineLevel="0" collapsed="false">
      <c r="A3" s="32"/>
      <c r="B3" s="32"/>
      <c r="C3" s="32"/>
      <c r="D3" s="33" t="str">
        <f aca="false">FOLHA_ROSTO!$B$13</f>
        <v>CAMPUS LARANJEIRAS DO SUL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0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</row>
    <row r="4" customFormat="false" ht="14.25" hidden="false" customHeight="true" outlineLevel="0" collapsed="false">
      <c r="A4" s="32"/>
      <c r="B4" s="32"/>
      <c r="C4" s="32"/>
      <c r="D4" s="33" t="str">
        <f aca="false">FOLHA_ROSTO!$B$17</f>
        <v>LARANJEIRAS DO SUL – PR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0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</row>
    <row r="5" customFormat="false" ht="14.25" hidden="false" customHeight="true" outlineLevel="0" collapsed="false">
      <c r="A5" s="32"/>
      <c r="B5" s="32"/>
      <c r="C5" s="32"/>
      <c r="D5" s="34" t="str">
        <f aca="false">FOLHA_ROSTO!$B$6</f>
        <v>COMPLEMENTAÇÃO DOS ESTACIONAMENTOS ACESSÍVEIS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0"/>
      <c r="Q5" s="35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</row>
    <row r="6" customFormat="false" ht="14.25" hidden="false" customHeight="true" outlineLevel="0" collapsed="false">
      <c r="A6" s="32"/>
      <c r="B6" s="32"/>
      <c r="C6" s="32"/>
      <c r="D6" s="36"/>
      <c r="E6" s="19"/>
      <c r="F6" s="37"/>
      <c r="G6" s="38"/>
      <c r="H6" s="38"/>
      <c r="I6" s="38"/>
      <c r="J6" s="38"/>
      <c r="K6" s="38"/>
      <c r="L6" s="38"/>
      <c r="M6" s="38"/>
      <c r="N6" s="39"/>
      <c r="O6" s="38"/>
      <c r="P6" s="30"/>
      <c r="Q6" s="35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</row>
    <row r="7" customFormat="false" ht="14.25" hidden="false" customHeight="true" outlineLevel="0" collapsed="false">
      <c r="A7" s="32"/>
      <c r="B7" s="32"/>
      <c r="C7" s="32"/>
      <c r="D7" s="33" t="str">
        <f aca="false">FOLHA_ROSTO!$B$19</f>
        <v>ORÇAMENTO ANALÍTICO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0"/>
      <c r="Q7" s="35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</row>
    <row r="8" customFormat="false" ht="14.25" hidden="false" customHeight="true" outlineLevel="0" collapsed="false">
      <c r="A8" s="32"/>
      <c r="B8" s="32"/>
      <c r="C8" s="32"/>
      <c r="D8" s="36"/>
      <c r="E8" s="19"/>
      <c r="F8" s="37"/>
      <c r="G8" s="38"/>
      <c r="H8" s="38"/>
      <c r="I8" s="38"/>
      <c r="J8" s="38"/>
      <c r="K8" s="38"/>
      <c r="L8" s="38"/>
      <c r="M8" s="38"/>
      <c r="N8" s="40" t="s">
        <v>21</v>
      </c>
      <c r="O8" s="41" t="n">
        <f aca="false">ROW($P$242)-ROW($P$13)</f>
        <v>229</v>
      </c>
      <c r="P8" s="41"/>
      <c r="Q8" s="35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</row>
    <row r="9" customFormat="false" ht="14.25" hidden="false" customHeight="true" outlineLevel="0" collapsed="false">
      <c r="A9" s="32"/>
      <c r="B9" s="32"/>
      <c r="C9" s="32"/>
      <c r="D9" s="42" t="s">
        <v>22</v>
      </c>
      <c r="E9" s="19"/>
      <c r="F9" s="37"/>
      <c r="G9" s="38"/>
      <c r="H9" s="38"/>
      <c r="I9" s="38"/>
      <c r="J9" s="38"/>
      <c r="K9" s="38"/>
      <c r="L9" s="38"/>
      <c r="M9" s="43"/>
      <c r="N9" s="44" t="s">
        <v>23</v>
      </c>
      <c r="O9" s="45" t="n">
        <f aca="false">$O$242</f>
        <v>361012.79</v>
      </c>
      <c r="P9" s="45"/>
      <c r="Q9" s="20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</row>
    <row r="10" customFormat="false" ht="14.25" hidden="false" customHeight="true" outlineLevel="0" collapsed="false">
      <c r="A10" s="32"/>
      <c r="B10" s="32"/>
      <c r="C10" s="32"/>
      <c r="D10" s="46" t="s">
        <v>24</v>
      </c>
      <c r="E10" s="19"/>
      <c r="F10" s="37"/>
      <c r="G10" s="38"/>
      <c r="H10" s="38"/>
      <c r="I10" s="38"/>
      <c r="J10" s="38"/>
      <c r="K10" s="38"/>
      <c r="L10" s="38"/>
      <c r="M10" s="38"/>
      <c r="N10" s="47" t="s">
        <v>25</v>
      </c>
      <c r="O10" s="48" t="n">
        <v>0</v>
      </c>
      <c r="P10" s="48"/>
      <c r="Q10" s="20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</row>
    <row r="11" customFormat="false" ht="14.25" hidden="false" customHeight="true" outlineLevel="0" collapsed="false">
      <c r="A11" s="32"/>
      <c r="B11" s="32"/>
      <c r="C11" s="32"/>
      <c r="D11" s="46" t="s">
        <v>26</v>
      </c>
      <c r="E11" s="46"/>
      <c r="F11" s="37"/>
      <c r="G11" s="38"/>
      <c r="H11" s="38"/>
      <c r="I11" s="38"/>
      <c r="J11" s="38"/>
      <c r="K11" s="38"/>
      <c r="L11" s="38"/>
      <c r="M11" s="49"/>
      <c r="N11" s="49" t="s">
        <v>27</v>
      </c>
      <c r="O11" s="50" t="n">
        <f aca="false">BDI_OBRA!$G$34</f>
        <v>0.2158185125</v>
      </c>
      <c r="P11" s="50"/>
      <c r="Q11" s="20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</row>
    <row r="12" customFormat="false" ht="14.25" hidden="false" customHeight="true" outlineLevel="0" collapsed="false">
      <c r="A12" s="51" t="s">
        <v>28</v>
      </c>
      <c r="B12" s="52"/>
      <c r="C12" s="52"/>
      <c r="D12" s="53" t="s">
        <v>29</v>
      </c>
      <c r="E12" s="53"/>
      <c r="F12" s="54"/>
      <c r="G12" s="55"/>
      <c r="H12" s="55"/>
      <c r="I12" s="55"/>
      <c r="J12" s="55"/>
      <c r="K12" s="55"/>
      <c r="L12" s="55"/>
      <c r="M12" s="56"/>
      <c r="N12" s="56" t="s">
        <v>30</v>
      </c>
      <c r="O12" s="57" t="n">
        <f aca="false">BDI_EQUIP!$G$34</f>
        <v>0.1433485394</v>
      </c>
      <c r="P12" s="57"/>
      <c r="Q12" s="35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</row>
    <row r="13" customFormat="false" ht="14.25" hidden="false" customHeight="true" outlineLevel="0" collapsed="false">
      <c r="A13" s="58" t="s">
        <v>31</v>
      </c>
      <c r="B13" s="59" t="s">
        <v>32</v>
      </c>
      <c r="C13" s="59" t="s">
        <v>33</v>
      </c>
      <c r="D13" s="60" t="s">
        <v>34</v>
      </c>
      <c r="E13" s="59" t="s">
        <v>35</v>
      </c>
      <c r="F13" s="61" t="s">
        <v>36</v>
      </c>
      <c r="G13" s="62" t="s">
        <v>37</v>
      </c>
      <c r="H13" s="62" t="s">
        <v>38</v>
      </c>
      <c r="I13" s="62" t="s">
        <v>39</v>
      </c>
      <c r="J13" s="62" t="s">
        <v>40</v>
      </c>
      <c r="K13" s="62" t="s">
        <v>41</v>
      </c>
      <c r="L13" s="62" t="s">
        <v>42</v>
      </c>
      <c r="M13" s="62" t="s">
        <v>43</v>
      </c>
      <c r="N13" s="63" t="s">
        <v>44</v>
      </c>
      <c r="O13" s="62" t="s">
        <v>45</v>
      </c>
      <c r="P13" s="62" t="s">
        <v>46</v>
      </c>
      <c r="Q13" s="47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</row>
    <row r="14" customFormat="false" ht="14.25" hidden="false" customHeight="true" outlineLevel="0" collapsed="false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47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</row>
    <row r="15" customFormat="false" ht="14.25" hidden="false" customHeight="true" outlineLevel="0" collapsed="false">
      <c r="A15" s="65"/>
      <c r="B15" s="66"/>
      <c r="C15" s="66"/>
      <c r="D15" s="67"/>
      <c r="E15" s="66"/>
      <c r="F15" s="68"/>
      <c r="G15" s="69"/>
      <c r="H15" s="69"/>
      <c r="I15" s="69"/>
      <c r="J15" s="69"/>
      <c r="K15" s="69"/>
      <c r="L15" s="69"/>
      <c r="M15" s="69"/>
      <c r="N15" s="70"/>
      <c r="O15" s="69"/>
      <c r="P15" s="71"/>
      <c r="Q15" s="35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</row>
    <row r="16" customFormat="false" ht="14.25" hidden="false" customHeight="true" outlineLevel="0" collapsed="false">
      <c r="A16" s="72" t="s">
        <v>47</v>
      </c>
      <c r="B16" s="73"/>
      <c r="C16" s="73"/>
      <c r="D16" s="74" t="s">
        <v>48</v>
      </c>
      <c r="E16" s="73"/>
      <c r="F16" s="75"/>
      <c r="G16" s="76"/>
      <c r="H16" s="76"/>
      <c r="I16" s="76"/>
      <c r="J16" s="76"/>
      <c r="K16" s="76"/>
      <c r="L16" s="76" t="s">
        <v>49</v>
      </c>
      <c r="M16" s="76" t="n">
        <f aca="false">SUMIFS($M17:$M19, $B17:$B19, "&lt;&gt;")</f>
        <v>509.18</v>
      </c>
      <c r="N16" s="77"/>
      <c r="O16" s="76" t="n">
        <f aca="false">SUMIFS($O17:$O19, $B17:$B19, "&lt;&gt;")</f>
        <v>619.07</v>
      </c>
      <c r="P16" s="78" t="n">
        <f aca="false">$O16/$O$9</f>
        <v>0.00171481459147195</v>
      </c>
      <c r="Q16" s="35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</row>
    <row r="17" customFormat="false" ht="14.25" hidden="false" customHeight="true" outlineLevel="0" collapsed="false">
      <c r="A17" s="65"/>
      <c r="B17" s="66"/>
      <c r="C17" s="66"/>
      <c r="D17" s="67"/>
      <c r="E17" s="66"/>
      <c r="F17" s="68"/>
      <c r="G17" s="69"/>
      <c r="H17" s="69"/>
      <c r="I17" s="69"/>
      <c r="J17" s="69"/>
      <c r="K17" s="69"/>
      <c r="L17" s="69"/>
      <c r="M17" s="69"/>
      <c r="N17" s="70"/>
      <c r="O17" s="69"/>
      <c r="P17" s="71"/>
      <c r="Q17" s="35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</row>
    <row r="18" customFormat="false" ht="14.25" hidden="false" customHeight="true" outlineLevel="0" collapsed="false">
      <c r="A18" s="65" t="s">
        <v>50</v>
      </c>
      <c r="B18" s="66" t="s">
        <v>51</v>
      </c>
      <c r="C18" s="66" t="s">
        <v>52</v>
      </c>
      <c r="D18" s="67" t="s">
        <v>53</v>
      </c>
      <c r="E18" s="66" t="s">
        <v>54</v>
      </c>
      <c r="F18" s="68" t="n">
        <v>2</v>
      </c>
      <c r="G18" s="69" t="n">
        <f aca="false">ROUND(254.59*(1-$O$10),2)</f>
        <v>254.59</v>
      </c>
      <c r="H18" s="69" t="n">
        <f aca="false">ROUND(0*(1-$O$10),2)</f>
        <v>0</v>
      </c>
      <c r="I18" s="69" t="n">
        <f aca="false">ROUND(0*(1-$O$10),2)</f>
        <v>0</v>
      </c>
      <c r="J18" s="69" t="n">
        <f aca="false">ROUND(0*(1-$O$10),2)</f>
        <v>0</v>
      </c>
      <c r="K18" s="69" t="n">
        <f aca="false">ROUND(0*(1-$O$10),2)</f>
        <v>0</v>
      </c>
      <c r="L18" s="69" t="n">
        <f aca="false">$G18+$H18+$I18+$J18+$K18</f>
        <v>254.59</v>
      </c>
      <c r="M18" s="69" t="n">
        <f aca="false">ROUND($F18*$L18,2)</f>
        <v>509.18</v>
      </c>
      <c r="N18" s="70" t="n">
        <f aca="false">$O$11</f>
        <v>0.2158185125</v>
      </c>
      <c r="O18" s="69" t="n">
        <f aca="false">ROUND($M18*(1+$N18),2)</f>
        <v>619.07</v>
      </c>
      <c r="P18" s="71" t="n">
        <f aca="false">$O18/$O$9</f>
        <v>0.00171481459147195</v>
      </c>
      <c r="Q18" s="35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customFormat="false" ht="14.25" hidden="false" customHeight="true" outlineLevel="0" collapsed="false">
      <c r="A19" s="65"/>
      <c r="B19" s="66"/>
      <c r="C19" s="66"/>
      <c r="D19" s="67"/>
      <c r="E19" s="66"/>
      <c r="F19" s="68"/>
      <c r="G19" s="69"/>
      <c r="H19" s="69"/>
      <c r="I19" s="69"/>
      <c r="J19" s="69"/>
      <c r="K19" s="69"/>
      <c r="L19" s="69"/>
      <c r="M19" s="69"/>
      <c r="N19" s="70"/>
      <c r="O19" s="69"/>
      <c r="P19" s="71"/>
      <c r="Q19" s="35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</row>
    <row r="20" customFormat="false" ht="14.25" hidden="false" customHeight="true" outlineLevel="0" collapsed="false">
      <c r="A20" s="79"/>
      <c r="B20" s="73"/>
      <c r="C20" s="73"/>
      <c r="D20" s="74" t="str">
        <f aca="false">CONCATENATE("SUBTOTAL ITEM: ", $D$16)</f>
        <v>SUBTOTAL ITEM: PROJETOS E TAXAS</v>
      </c>
      <c r="E20" s="73"/>
      <c r="F20" s="75"/>
      <c r="G20" s="76"/>
      <c r="H20" s="76"/>
      <c r="I20" s="76"/>
      <c r="J20" s="76"/>
      <c r="K20" s="76"/>
      <c r="L20" s="76"/>
      <c r="M20" s="76" t="n">
        <f aca="false">$M16</f>
        <v>509.18</v>
      </c>
      <c r="N20" s="77"/>
      <c r="O20" s="76" t="n">
        <f aca="false">$O16</f>
        <v>619.07</v>
      </c>
      <c r="P20" s="78" t="n">
        <f aca="false">$P16</f>
        <v>0.00171481459147195</v>
      </c>
      <c r="Q20" s="35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</row>
    <row r="21" customFormat="false" ht="14.25" hidden="false" customHeight="true" outlineLevel="0" collapsed="false">
      <c r="A21" s="65"/>
      <c r="B21" s="66"/>
      <c r="C21" s="66"/>
      <c r="D21" s="67"/>
      <c r="E21" s="66"/>
      <c r="F21" s="68"/>
      <c r="G21" s="69"/>
      <c r="H21" s="69"/>
      <c r="I21" s="69"/>
      <c r="J21" s="69"/>
      <c r="K21" s="69"/>
      <c r="L21" s="69"/>
      <c r="M21" s="69"/>
      <c r="N21" s="70"/>
      <c r="O21" s="69"/>
      <c r="P21" s="71"/>
      <c r="Q21" s="35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customFormat="false" ht="14.25" hidden="false" customHeight="true" outlineLevel="0" collapsed="false">
      <c r="A22" s="65"/>
      <c r="B22" s="66"/>
      <c r="C22" s="66"/>
      <c r="D22" s="67"/>
      <c r="E22" s="66"/>
      <c r="F22" s="68"/>
      <c r="G22" s="69"/>
      <c r="H22" s="69"/>
      <c r="I22" s="69"/>
      <c r="J22" s="69"/>
      <c r="K22" s="69"/>
      <c r="L22" s="69"/>
      <c r="M22" s="69"/>
      <c r="N22" s="70"/>
      <c r="O22" s="69"/>
      <c r="P22" s="71"/>
      <c r="Q22" s="35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</row>
    <row r="23" customFormat="false" ht="14.25" hidden="false" customHeight="true" outlineLevel="0" collapsed="false">
      <c r="A23" s="72" t="s">
        <v>55</v>
      </c>
      <c r="B23" s="73"/>
      <c r="C23" s="73"/>
      <c r="D23" s="74" t="s">
        <v>56</v>
      </c>
      <c r="E23" s="73"/>
      <c r="F23" s="75"/>
      <c r="G23" s="76"/>
      <c r="H23" s="76"/>
      <c r="I23" s="76"/>
      <c r="J23" s="76"/>
      <c r="K23" s="76"/>
      <c r="L23" s="76" t="s">
        <v>49</v>
      </c>
      <c r="M23" s="76" t="n">
        <f aca="false">SUMIFS($M24:$M43, $B24:$B43, "&lt;&gt;")</f>
        <v>16680.64</v>
      </c>
      <c r="N23" s="77"/>
      <c r="O23" s="76" t="n">
        <f aca="false">SUMIFS($O24:$O43, $B24:$B43, "&lt;&gt;")</f>
        <v>20280.63</v>
      </c>
      <c r="P23" s="78" t="n">
        <f aca="false">$O23/$O$9</f>
        <v>0.0561770401541729</v>
      </c>
      <c r="Q23" s="35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customFormat="false" ht="14.25" hidden="false" customHeight="true" outlineLevel="0" collapsed="false">
      <c r="A24" s="65"/>
      <c r="B24" s="66"/>
      <c r="C24" s="66"/>
      <c r="D24" s="67"/>
      <c r="E24" s="66"/>
      <c r="F24" s="68"/>
      <c r="G24" s="69"/>
      <c r="H24" s="69"/>
      <c r="I24" s="69"/>
      <c r="J24" s="69"/>
      <c r="K24" s="69"/>
      <c r="L24" s="69"/>
      <c r="M24" s="69"/>
      <c r="N24" s="70"/>
      <c r="O24" s="69"/>
      <c r="P24" s="71"/>
      <c r="Q24" s="35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customFormat="false" ht="14.25" hidden="false" customHeight="true" outlineLevel="0" collapsed="false">
      <c r="A25" s="80" t="s">
        <v>57</v>
      </c>
      <c r="B25" s="81"/>
      <c r="C25" s="81"/>
      <c r="D25" s="82" t="s">
        <v>58</v>
      </c>
      <c r="E25" s="81"/>
      <c r="F25" s="83"/>
      <c r="G25" s="84"/>
      <c r="H25" s="84"/>
      <c r="I25" s="84"/>
      <c r="J25" s="84"/>
      <c r="K25" s="84"/>
      <c r="L25" s="84" t="s">
        <v>49</v>
      </c>
      <c r="M25" s="84" t="n">
        <f aca="false">SUMIFS($M26:$M30, $B26:$B30, "&lt;&gt;")</f>
        <v>7849.2</v>
      </c>
      <c r="N25" s="85"/>
      <c r="O25" s="84" t="n">
        <f aca="false">SUMIFS($O26:$O30, $B26:$B30, "&lt;&gt;")</f>
        <v>9543.2</v>
      </c>
      <c r="P25" s="86" t="n">
        <f aca="false">$O25/$O$9</f>
        <v>0.0264345205054923</v>
      </c>
      <c r="Q25" s="35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customFormat="false" ht="14.25" hidden="false" customHeight="true" outlineLevel="0" collapsed="false">
      <c r="A26" s="65"/>
      <c r="B26" s="66"/>
      <c r="C26" s="66"/>
      <c r="D26" s="67"/>
      <c r="E26" s="66"/>
      <c r="F26" s="68"/>
      <c r="G26" s="69"/>
      <c r="H26" s="69"/>
      <c r="I26" s="69"/>
      <c r="J26" s="69"/>
      <c r="K26" s="69"/>
      <c r="L26" s="69"/>
      <c r="M26" s="69"/>
      <c r="N26" s="70"/>
      <c r="O26" s="69"/>
      <c r="P26" s="71"/>
      <c r="Q26" s="35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customFormat="false" ht="14.25" hidden="false" customHeight="true" outlineLevel="0" collapsed="false">
      <c r="A27" s="65" t="s">
        <v>59</v>
      </c>
      <c r="B27" s="66" t="s">
        <v>51</v>
      </c>
      <c r="C27" s="66" t="s">
        <v>60</v>
      </c>
      <c r="D27" s="67" t="s">
        <v>61</v>
      </c>
      <c r="E27" s="66" t="s">
        <v>62</v>
      </c>
      <c r="F27" s="68" t="n">
        <v>2</v>
      </c>
      <c r="G27" s="69" t="n">
        <f aca="false">ROUND(303.17*(1-$O$10),2)</f>
        <v>303.17</v>
      </c>
      <c r="H27" s="69" t="n">
        <f aca="false">ROUND(41.86*(1-$O$10),2)</f>
        <v>41.86</v>
      </c>
      <c r="I27" s="69" t="n">
        <f aca="false">ROUND(0*(1-$O$10),2)</f>
        <v>0</v>
      </c>
      <c r="J27" s="69" t="n">
        <f aca="false">ROUND(0*(1-$O$10),2)</f>
        <v>0</v>
      </c>
      <c r="K27" s="69" t="n">
        <f aca="false">ROUND(0*(1-$O$10),2)</f>
        <v>0</v>
      </c>
      <c r="L27" s="69" t="n">
        <f aca="false">$G27+$H27+$I27+$J27+$K27</f>
        <v>345.03</v>
      </c>
      <c r="M27" s="69" t="n">
        <f aca="false">ROUND($F27*$L27,2)</f>
        <v>690.06</v>
      </c>
      <c r="N27" s="70" t="n">
        <f aca="false">$O$11</f>
        <v>0.2158185125</v>
      </c>
      <c r="O27" s="69" t="n">
        <f aca="false">ROUND($M27*(1+$N27),2)</f>
        <v>838.99</v>
      </c>
      <c r="P27" s="71" t="n">
        <f aca="false">$O27/$O$9</f>
        <v>0.00232398968468679</v>
      </c>
      <c r="Q27" s="35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customFormat="false" ht="14.25" hidden="false" customHeight="true" outlineLevel="0" collapsed="false">
      <c r="A28" s="65" t="s">
        <v>63</v>
      </c>
      <c r="B28" s="66" t="s">
        <v>51</v>
      </c>
      <c r="C28" s="66" t="s">
        <v>64</v>
      </c>
      <c r="D28" s="67" t="s">
        <v>65</v>
      </c>
      <c r="E28" s="66" t="s">
        <v>62</v>
      </c>
      <c r="F28" s="68" t="n">
        <f aca="false">(114.23+197.94+94.23)*1.2</f>
        <v>487.68</v>
      </c>
      <c r="G28" s="69" t="n">
        <f aca="false">ROUND(10.08*(1-$O$10),2)</f>
        <v>10.08</v>
      </c>
      <c r="H28" s="69" t="n">
        <f aca="false">ROUND(4.6*(1-$O$10),2)</f>
        <v>4.6</v>
      </c>
      <c r="I28" s="69" t="n">
        <f aca="false">ROUND(0*(1-$O$10),2)</f>
        <v>0</v>
      </c>
      <c r="J28" s="69" t="n">
        <f aca="false">ROUND(0*(1-$O$10),2)</f>
        <v>0</v>
      </c>
      <c r="K28" s="69" t="n">
        <f aca="false">ROUND(0*(1-$O$10),2)</f>
        <v>0</v>
      </c>
      <c r="L28" s="69" t="n">
        <f aca="false">$G28+$H28+$I28+$J28+$K28</f>
        <v>14.68</v>
      </c>
      <c r="M28" s="69" t="n">
        <f aca="false">ROUND($F28*$L28,2)</f>
        <v>7159.14</v>
      </c>
      <c r="N28" s="70" t="n">
        <f aca="false">$O$11</f>
        <v>0.2158185125</v>
      </c>
      <c r="O28" s="69" t="n">
        <f aca="false">ROUND($M28*(1+$N28),2)</f>
        <v>8704.21</v>
      </c>
      <c r="P28" s="71" t="n">
        <f aca="false">$O28/$O$9</f>
        <v>0.0241105308208055</v>
      </c>
      <c r="Q28" s="35"/>
      <c r="R28" s="87"/>
      <c r="S28" s="87"/>
      <c r="T28" s="88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customFormat="false" ht="14.25" hidden="false" customHeight="true" outlineLevel="0" collapsed="false">
      <c r="A29" s="65"/>
      <c r="B29" s="66"/>
      <c r="C29" s="66"/>
      <c r="D29" s="67"/>
      <c r="E29" s="66"/>
      <c r="F29" s="68"/>
      <c r="G29" s="69"/>
      <c r="H29" s="69"/>
      <c r="I29" s="69"/>
      <c r="J29" s="69"/>
      <c r="K29" s="69"/>
      <c r="L29" s="69"/>
      <c r="M29" s="69"/>
      <c r="N29" s="70"/>
      <c r="O29" s="69"/>
      <c r="P29" s="71"/>
      <c r="Q29" s="35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customFormat="false" ht="14.25" hidden="false" customHeight="true" outlineLevel="0" collapsed="false">
      <c r="A30" s="65"/>
      <c r="B30" s="66"/>
      <c r="C30" s="66"/>
      <c r="D30" s="67"/>
      <c r="E30" s="66"/>
      <c r="F30" s="68"/>
      <c r="G30" s="69"/>
      <c r="H30" s="69"/>
      <c r="I30" s="69"/>
      <c r="J30" s="69"/>
      <c r="K30" s="69"/>
      <c r="L30" s="69"/>
      <c r="M30" s="69"/>
      <c r="N30" s="70"/>
      <c r="O30" s="69"/>
      <c r="P30" s="71"/>
      <c r="Q30" s="35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customFormat="false" ht="14.25" hidden="false" customHeight="true" outlineLevel="0" collapsed="false">
      <c r="A31" s="80"/>
      <c r="B31" s="81"/>
      <c r="C31" s="81"/>
      <c r="D31" s="82" t="str">
        <f aca="false">CONCATENATE("SUBTOTAL ITEM: ", $D$25)</f>
        <v>SUBTOTAL ITEM: SERVIÇOS INICIAIS</v>
      </c>
      <c r="E31" s="81"/>
      <c r="F31" s="83"/>
      <c r="G31" s="84"/>
      <c r="H31" s="84"/>
      <c r="I31" s="84"/>
      <c r="J31" s="84"/>
      <c r="K31" s="84"/>
      <c r="L31" s="84"/>
      <c r="M31" s="84" t="n">
        <f aca="false">$M25</f>
        <v>7849.2</v>
      </c>
      <c r="N31" s="85"/>
      <c r="O31" s="84" t="n">
        <f aca="false">$O25</f>
        <v>9543.2</v>
      </c>
      <c r="P31" s="86" t="n">
        <f aca="false">$P25</f>
        <v>0.0264345205054923</v>
      </c>
      <c r="Q31" s="35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customFormat="false" ht="14.25" hidden="false" customHeight="true" outlineLevel="0" collapsed="false">
      <c r="A32" s="65"/>
      <c r="B32" s="66"/>
      <c r="C32" s="66"/>
      <c r="D32" s="67"/>
      <c r="E32" s="66"/>
      <c r="F32" s="68"/>
      <c r="G32" s="69"/>
      <c r="H32" s="69"/>
      <c r="I32" s="69"/>
      <c r="J32" s="69"/>
      <c r="K32" s="69"/>
      <c r="L32" s="69"/>
      <c r="M32" s="69"/>
      <c r="N32" s="70"/>
      <c r="O32" s="69"/>
      <c r="P32" s="71"/>
      <c r="Q32" s="35"/>
      <c r="R32" s="89"/>
      <c r="S32" s="89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customFormat="false" ht="14.25" hidden="false" customHeight="true" outlineLevel="0" collapsed="false">
      <c r="A33" s="80" t="s">
        <v>66</v>
      </c>
      <c r="B33" s="81"/>
      <c r="C33" s="81"/>
      <c r="D33" s="82" t="s">
        <v>67</v>
      </c>
      <c r="E33" s="81"/>
      <c r="F33" s="83"/>
      <c r="G33" s="84"/>
      <c r="H33" s="84"/>
      <c r="I33" s="84"/>
      <c r="J33" s="84"/>
      <c r="K33" s="84"/>
      <c r="L33" s="84" t="s">
        <v>49</v>
      </c>
      <c r="M33" s="84" t="n">
        <f aca="false">SUMIFS($M34:$M40, $B34:$B40, "&lt;&gt;")</f>
        <v>8831.44</v>
      </c>
      <c r="N33" s="85"/>
      <c r="O33" s="84" t="n">
        <f aca="false">SUMIFS($O34:$O40, $B34:$B40, "&lt;&gt;")</f>
        <v>10737.43</v>
      </c>
      <c r="P33" s="86" t="n">
        <f aca="false">$O33/$O$9</f>
        <v>0.0297425196486806</v>
      </c>
      <c r="Q33" s="35"/>
      <c r="R33" s="89"/>
      <c r="S33" s="89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customFormat="false" ht="14.25" hidden="false" customHeight="true" outlineLevel="0" collapsed="false">
      <c r="A34" s="65"/>
      <c r="B34" s="66"/>
      <c r="C34" s="66"/>
      <c r="D34" s="67"/>
      <c r="E34" s="66"/>
      <c r="F34" s="68"/>
      <c r="G34" s="69"/>
      <c r="H34" s="69"/>
      <c r="I34" s="69"/>
      <c r="J34" s="69"/>
      <c r="K34" s="69"/>
      <c r="L34" s="69"/>
      <c r="M34" s="69"/>
      <c r="N34" s="70"/>
      <c r="O34" s="69"/>
      <c r="P34" s="71"/>
      <c r="Q34" s="35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customFormat="false" ht="14.25" hidden="false" customHeight="true" outlineLevel="0" collapsed="false">
      <c r="A35" s="65" t="s">
        <v>68</v>
      </c>
      <c r="B35" s="66" t="s">
        <v>69</v>
      </c>
      <c r="C35" s="66" t="n">
        <v>90777</v>
      </c>
      <c r="D35" s="67" t="s">
        <v>70</v>
      </c>
      <c r="E35" s="66" t="s">
        <v>71</v>
      </c>
      <c r="F35" s="90" t="n">
        <v>24</v>
      </c>
      <c r="G35" s="69" t="n">
        <f aca="false">ROUND(1.93*(1-$O$10),2)</f>
        <v>1.93</v>
      </c>
      <c r="H35" s="69" t="n">
        <f aca="false">ROUND(112.38*(1-$O$10),2)</f>
        <v>112.38</v>
      </c>
      <c r="I35" s="69" t="n">
        <f aca="false">ROUND(0*(1-$O$10),2)</f>
        <v>0</v>
      </c>
      <c r="J35" s="69" t="n">
        <f aca="false">ROUND(0*(1-$O$10),2)</f>
        <v>0</v>
      </c>
      <c r="K35" s="69" t="n">
        <f aca="false">ROUND(0*(1-$O$10),2)</f>
        <v>0</v>
      </c>
      <c r="L35" s="69" t="n">
        <f aca="false">$G35+$H35+$I35+$J35+$K35</f>
        <v>114.31</v>
      </c>
      <c r="M35" s="69" t="n">
        <f aca="false">ROUND($F35*$L35,2)</f>
        <v>2743.44</v>
      </c>
      <c r="N35" s="70" t="n">
        <f aca="false">$O$11</f>
        <v>0.2158185125</v>
      </c>
      <c r="O35" s="69" t="n">
        <f aca="false">ROUND($M35*(1+$N35),2)</f>
        <v>3335.53</v>
      </c>
      <c r="P35" s="71" t="n">
        <f aca="false">$O35/$O$9</f>
        <v>0.00923936794593898</v>
      </c>
      <c r="Q35" s="35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customFormat="false" ht="14.25" hidden="false" customHeight="true" outlineLevel="0" collapsed="false">
      <c r="A36" s="65" t="s">
        <v>72</v>
      </c>
      <c r="B36" s="66" t="s">
        <v>69</v>
      </c>
      <c r="C36" s="66" t="n">
        <v>90776</v>
      </c>
      <c r="D36" s="67" t="s">
        <v>73</v>
      </c>
      <c r="E36" s="66" t="s">
        <v>71</v>
      </c>
      <c r="F36" s="90" t="n">
        <v>120</v>
      </c>
      <c r="G36" s="69" t="n">
        <f aca="false">ROUND(2.49*(1-$O$10),2)</f>
        <v>2.49</v>
      </c>
      <c r="H36" s="69" t="n">
        <f aca="false">ROUND(35.17*(1-$O$10),2)</f>
        <v>35.17</v>
      </c>
      <c r="I36" s="69" t="n">
        <f aca="false">ROUND(0*(1-$O$10),2)</f>
        <v>0</v>
      </c>
      <c r="J36" s="69" t="n">
        <f aca="false">ROUND(0*(1-$O$10),2)</f>
        <v>0</v>
      </c>
      <c r="K36" s="69" t="n">
        <f aca="false">ROUND(0*(1-$O$10),2)</f>
        <v>0</v>
      </c>
      <c r="L36" s="69" t="n">
        <f aca="false">$G36+$H36+$I36+$J36+$K36</f>
        <v>37.66</v>
      </c>
      <c r="M36" s="69" t="n">
        <f aca="false">ROUND($F36*$L36,2)</f>
        <v>4519.2</v>
      </c>
      <c r="N36" s="70" t="n">
        <f aca="false">$O$11</f>
        <v>0.2158185125</v>
      </c>
      <c r="O36" s="69" t="n">
        <f aca="false">ROUND($M36*(1+$N36),2)</f>
        <v>5494.53</v>
      </c>
      <c r="P36" s="71" t="n">
        <f aca="false">$O36/$O$9</f>
        <v>0.015219765482547</v>
      </c>
      <c r="Q36" s="35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customFormat="false" ht="14.25" hidden="false" customHeight="true" outlineLevel="0" collapsed="false">
      <c r="A37" s="65" t="s">
        <v>74</v>
      </c>
      <c r="B37" s="66" t="s">
        <v>69</v>
      </c>
      <c r="C37" s="66" t="n">
        <v>90781</v>
      </c>
      <c r="D37" s="67" t="s">
        <v>75</v>
      </c>
      <c r="E37" s="66" t="s">
        <v>71</v>
      </c>
      <c r="F37" s="90" t="n">
        <v>40</v>
      </c>
      <c r="G37" s="69" t="n">
        <f aca="false">ROUND(1.96*(1-$O$10),2)</f>
        <v>1.96</v>
      </c>
      <c r="H37" s="69" t="n">
        <f aca="false">ROUND(24.36*(1-$O$10),2)</f>
        <v>24.36</v>
      </c>
      <c r="I37" s="69" t="n">
        <f aca="false">ROUND(0*(1-$O$10),2)</f>
        <v>0</v>
      </c>
      <c r="J37" s="69" t="n">
        <f aca="false">ROUND(0*(1-$O$10),2)</f>
        <v>0</v>
      </c>
      <c r="K37" s="69" t="n">
        <f aca="false">ROUND(0*(1-$O$10),2)</f>
        <v>0</v>
      </c>
      <c r="L37" s="69" t="n">
        <f aca="false">$G37+$H37+$I37+$J37+$K37</f>
        <v>26.32</v>
      </c>
      <c r="M37" s="69" t="n">
        <f aca="false">ROUND($F37*$L37,2)</f>
        <v>1052.8</v>
      </c>
      <c r="N37" s="70" t="n">
        <f aca="false">$O$11</f>
        <v>0.2158185125</v>
      </c>
      <c r="O37" s="69" t="n">
        <f aca="false">ROUND($M37*(1+$N37),2)</f>
        <v>1280.01</v>
      </c>
      <c r="P37" s="71" t="n">
        <f aca="false">$O37/$O$9</f>
        <v>0.00354560845337363</v>
      </c>
      <c r="Q37" s="35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customFormat="false" ht="14.25" hidden="false" customHeight="true" outlineLevel="0" collapsed="false">
      <c r="A38" s="65" t="s">
        <v>76</v>
      </c>
      <c r="B38" s="66" t="s">
        <v>69</v>
      </c>
      <c r="C38" s="66" t="n">
        <v>88253</v>
      </c>
      <c r="D38" s="67" t="s">
        <v>77</v>
      </c>
      <c r="E38" s="66" t="s">
        <v>71</v>
      </c>
      <c r="F38" s="90" t="n">
        <f aca="false">F37</f>
        <v>40</v>
      </c>
      <c r="G38" s="69" t="n">
        <f aca="false">ROUND(1.96*(1-$O$10),2)</f>
        <v>1.96</v>
      </c>
      <c r="H38" s="69" t="n">
        <f aca="false">ROUND(10.94*(1-$O$10),2)</f>
        <v>10.94</v>
      </c>
      <c r="I38" s="69" t="n">
        <f aca="false">ROUND(0*(1-$O$10),2)</f>
        <v>0</v>
      </c>
      <c r="J38" s="69" t="n">
        <f aca="false">ROUND(0*(1-$O$10),2)</f>
        <v>0</v>
      </c>
      <c r="K38" s="69" t="n">
        <f aca="false">ROUND(0*(1-$O$10),2)</f>
        <v>0</v>
      </c>
      <c r="L38" s="69" t="n">
        <f aca="false">$G38+$H38+$I38+$J38+$K38</f>
        <v>12.9</v>
      </c>
      <c r="M38" s="69" t="n">
        <f aca="false">ROUND($F38*$L38,2)</f>
        <v>516</v>
      </c>
      <c r="N38" s="70" t="n">
        <f aca="false">$O$11</f>
        <v>0.2158185125</v>
      </c>
      <c r="O38" s="69" t="n">
        <f aca="false">ROUND($M38*(1+$N38),2)</f>
        <v>627.36</v>
      </c>
      <c r="P38" s="71" t="n">
        <f aca="false">$O38/$O$9</f>
        <v>0.00173777776682095</v>
      </c>
      <c r="Q38" s="35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customFormat="false" ht="14.25" hidden="false" customHeight="true" outlineLevel="0" collapsed="false">
      <c r="A39" s="65"/>
      <c r="B39" s="66"/>
      <c r="C39" s="66"/>
      <c r="D39" s="67"/>
      <c r="E39" s="66"/>
      <c r="F39" s="68"/>
      <c r="G39" s="69"/>
      <c r="H39" s="69"/>
      <c r="I39" s="69"/>
      <c r="J39" s="69"/>
      <c r="K39" s="69"/>
      <c r="L39" s="69"/>
      <c r="M39" s="69"/>
      <c r="N39" s="70"/>
      <c r="O39" s="69"/>
      <c r="P39" s="71"/>
      <c r="Q39" s="35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customFormat="false" ht="14.25" hidden="false" customHeight="true" outlineLevel="0" collapsed="false">
      <c r="A40" s="65"/>
      <c r="B40" s="66"/>
      <c r="C40" s="66"/>
      <c r="D40" s="67"/>
      <c r="E40" s="66"/>
      <c r="F40" s="68"/>
      <c r="G40" s="69"/>
      <c r="H40" s="69"/>
      <c r="I40" s="69"/>
      <c r="J40" s="69"/>
      <c r="K40" s="69"/>
      <c r="L40" s="69"/>
      <c r="M40" s="69"/>
      <c r="N40" s="70"/>
      <c r="O40" s="69"/>
      <c r="P40" s="71"/>
      <c r="Q40" s="35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customFormat="false" ht="14.25" hidden="false" customHeight="true" outlineLevel="0" collapsed="false">
      <c r="A41" s="80"/>
      <c r="B41" s="81"/>
      <c r="C41" s="81"/>
      <c r="D41" s="82" t="str">
        <f aca="false">CONCATENATE("SUBTOTAL ITEM: ", $D$33)</f>
        <v>SUBTOTAL ITEM: ADMINISTRAÇÃO LOCAL</v>
      </c>
      <c r="E41" s="81"/>
      <c r="F41" s="83"/>
      <c r="G41" s="84"/>
      <c r="H41" s="84"/>
      <c r="I41" s="84"/>
      <c r="J41" s="84"/>
      <c r="K41" s="84"/>
      <c r="L41" s="84"/>
      <c r="M41" s="84" t="n">
        <f aca="false">$M33</f>
        <v>8831.44</v>
      </c>
      <c r="N41" s="85"/>
      <c r="O41" s="84" t="n">
        <f aca="false">$O33</f>
        <v>10737.43</v>
      </c>
      <c r="P41" s="86" t="n">
        <f aca="false">$P33</f>
        <v>0.0297425196486806</v>
      </c>
      <c r="Q41" s="35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customFormat="false" ht="14.25" hidden="false" customHeight="true" outlineLevel="0" collapsed="false">
      <c r="A42" s="65"/>
      <c r="B42" s="66"/>
      <c r="C42" s="66"/>
      <c r="D42" s="67"/>
      <c r="E42" s="66"/>
      <c r="F42" s="68"/>
      <c r="G42" s="69"/>
      <c r="H42" s="69"/>
      <c r="I42" s="69"/>
      <c r="J42" s="69"/>
      <c r="K42" s="69"/>
      <c r="L42" s="69"/>
      <c r="M42" s="69"/>
      <c r="N42" s="70"/>
      <c r="O42" s="69"/>
      <c r="P42" s="71"/>
      <c r="Q42" s="35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customFormat="false" ht="14.25" hidden="false" customHeight="true" outlineLevel="0" collapsed="false">
      <c r="A43" s="65"/>
      <c r="B43" s="66"/>
      <c r="C43" s="66"/>
      <c r="D43" s="67"/>
      <c r="E43" s="66"/>
      <c r="F43" s="68"/>
      <c r="G43" s="69"/>
      <c r="H43" s="69"/>
      <c r="I43" s="69"/>
      <c r="J43" s="69"/>
      <c r="K43" s="69"/>
      <c r="L43" s="69"/>
      <c r="M43" s="69"/>
      <c r="N43" s="70"/>
      <c r="O43" s="69"/>
      <c r="P43" s="71"/>
      <c r="Q43" s="35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customFormat="false" ht="14.25" hidden="false" customHeight="true" outlineLevel="0" collapsed="false">
      <c r="A44" s="79"/>
      <c r="B44" s="73"/>
      <c r="C44" s="73"/>
      <c r="D44" s="74" t="str">
        <f aca="false">CONCATENATE("SUBTOTAL ITEM: ", $D$23)</f>
        <v>SUBTOTAL ITEM: SERVIÇOS PRELIMINARES / TÉCNICOS</v>
      </c>
      <c r="E44" s="73"/>
      <c r="F44" s="75"/>
      <c r="G44" s="76"/>
      <c r="H44" s="76"/>
      <c r="I44" s="76"/>
      <c r="J44" s="76"/>
      <c r="K44" s="76"/>
      <c r="L44" s="76"/>
      <c r="M44" s="76" t="n">
        <f aca="false">$M23</f>
        <v>16680.64</v>
      </c>
      <c r="N44" s="77"/>
      <c r="O44" s="76" t="n">
        <f aca="false">$O23</f>
        <v>20280.63</v>
      </c>
      <c r="P44" s="78" t="n">
        <f aca="false">$P23</f>
        <v>0.0561770401541729</v>
      </c>
      <c r="Q44" s="35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customFormat="false" ht="14.25" hidden="false" customHeight="true" outlineLevel="0" collapsed="false">
      <c r="A45" s="65"/>
      <c r="B45" s="66"/>
      <c r="C45" s="66"/>
      <c r="D45" s="67"/>
      <c r="E45" s="66"/>
      <c r="F45" s="68"/>
      <c r="G45" s="69"/>
      <c r="H45" s="69"/>
      <c r="I45" s="69"/>
      <c r="J45" s="69"/>
      <c r="K45" s="69"/>
      <c r="L45" s="69"/>
      <c r="M45" s="69"/>
      <c r="N45" s="70"/>
      <c r="O45" s="69"/>
      <c r="P45" s="71"/>
      <c r="Q45" s="35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customFormat="false" ht="14.25" hidden="false" customHeight="true" outlineLevel="0" collapsed="false">
      <c r="A46" s="65"/>
      <c r="B46" s="66"/>
      <c r="C46" s="66"/>
      <c r="D46" s="91" t="s">
        <v>78</v>
      </c>
      <c r="E46" s="66"/>
      <c r="F46" s="68"/>
      <c r="G46" s="69"/>
      <c r="H46" s="69"/>
      <c r="I46" s="69"/>
      <c r="J46" s="69"/>
      <c r="K46" s="69"/>
      <c r="L46" s="69"/>
      <c r="M46" s="69"/>
      <c r="N46" s="70"/>
      <c r="O46" s="69"/>
      <c r="P46" s="71"/>
      <c r="Q46" s="35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customFormat="false" ht="14.25" hidden="false" customHeight="true" outlineLevel="0" collapsed="false">
      <c r="A47" s="65"/>
      <c r="B47" s="66"/>
      <c r="C47" s="66"/>
      <c r="D47" s="67"/>
      <c r="E47" s="66"/>
      <c r="F47" s="68"/>
      <c r="G47" s="69"/>
      <c r="H47" s="69"/>
      <c r="I47" s="69"/>
      <c r="J47" s="69"/>
      <c r="K47" s="69"/>
      <c r="L47" s="69"/>
      <c r="M47" s="69"/>
      <c r="N47" s="70"/>
      <c r="O47" s="69"/>
      <c r="P47" s="71"/>
      <c r="Q47" s="35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customFormat="false" ht="14.25" hidden="false" customHeight="true" outlineLevel="0" collapsed="false">
      <c r="A48" s="72" t="s">
        <v>79</v>
      </c>
      <c r="B48" s="73"/>
      <c r="C48" s="73"/>
      <c r="D48" s="74" t="s">
        <v>80</v>
      </c>
      <c r="E48" s="73"/>
      <c r="F48" s="75"/>
      <c r="G48" s="76"/>
      <c r="H48" s="76"/>
      <c r="I48" s="76"/>
      <c r="J48" s="76"/>
      <c r="K48" s="76"/>
      <c r="L48" s="76" t="s">
        <v>49</v>
      </c>
      <c r="M48" s="76" t="n">
        <f aca="false">SUMIFS($M49:$M58, $B49:$B58, "&lt;&gt;")</f>
        <v>10659.64</v>
      </c>
      <c r="N48" s="77"/>
      <c r="O48" s="76" t="n">
        <f aca="false">SUMIFS($O49:$O58, $B49:$B58, "&lt;&gt;")</f>
        <v>12960.19</v>
      </c>
      <c r="P48" s="78" t="n">
        <f aca="false">$O48/$O$9</f>
        <v>0.0358995314265735</v>
      </c>
      <c r="Q48" s="35"/>
      <c r="R48" s="92"/>
      <c r="S48" s="92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customFormat="false" ht="14.25" hidden="false" customHeight="true" outlineLevel="0" collapsed="false">
      <c r="A49" s="65"/>
      <c r="B49" s="66"/>
      <c r="C49" s="66"/>
      <c r="D49" s="67"/>
      <c r="E49" s="66"/>
      <c r="F49" s="68"/>
      <c r="G49" s="69"/>
      <c r="H49" s="69"/>
      <c r="I49" s="69"/>
      <c r="J49" s="69"/>
      <c r="K49" s="69"/>
      <c r="L49" s="69"/>
      <c r="M49" s="69"/>
      <c r="N49" s="70"/>
      <c r="O49" s="69"/>
      <c r="P49" s="71"/>
      <c r="Q49" s="35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customFormat="false" ht="14.25" hidden="false" customHeight="true" outlineLevel="0" collapsed="false">
      <c r="A50" s="80" t="s">
        <v>81</v>
      </c>
      <c r="B50" s="81"/>
      <c r="C50" s="81"/>
      <c r="D50" s="82" t="s">
        <v>82</v>
      </c>
      <c r="E50" s="81"/>
      <c r="F50" s="83"/>
      <c r="G50" s="84"/>
      <c r="H50" s="84"/>
      <c r="I50" s="84"/>
      <c r="J50" s="84"/>
      <c r="K50" s="84"/>
      <c r="L50" s="84" t="s">
        <v>49</v>
      </c>
      <c r="M50" s="84" t="n">
        <f aca="false">SUMIFS($M51:$M56, $B51:$B56, "&lt;&gt;")</f>
        <v>10659.64</v>
      </c>
      <c r="N50" s="85"/>
      <c r="O50" s="84" t="n">
        <f aca="false">SUMIFS($O51:$O56, $B51:$B56, "&lt;&gt;")</f>
        <v>12960.19</v>
      </c>
      <c r="P50" s="86" t="n">
        <f aca="false">$O50/$O$9</f>
        <v>0.0358995314265735</v>
      </c>
      <c r="Q50" s="35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customFormat="false" ht="14.25" hidden="false" customHeight="true" outlineLevel="0" collapsed="false">
      <c r="A51" s="65"/>
      <c r="B51" s="66"/>
      <c r="C51" s="66"/>
      <c r="D51" s="67"/>
      <c r="E51" s="66"/>
      <c r="F51" s="68"/>
      <c r="G51" s="69"/>
      <c r="H51" s="69"/>
      <c r="I51" s="69"/>
      <c r="J51" s="69"/>
      <c r="K51" s="69"/>
      <c r="L51" s="69"/>
      <c r="M51" s="69"/>
      <c r="N51" s="70"/>
      <c r="O51" s="69"/>
      <c r="P51" s="71"/>
      <c r="Q51" s="35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customFormat="false" ht="14.25" hidden="false" customHeight="true" outlineLevel="0" collapsed="false">
      <c r="A52" s="65" t="s">
        <v>83</v>
      </c>
      <c r="B52" s="66" t="s">
        <v>69</v>
      </c>
      <c r="C52" s="66" t="n">
        <v>101116</v>
      </c>
      <c r="D52" s="67" t="s">
        <v>84</v>
      </c>
      <c r="E52" s="66" t="s">
        <v>85</v>
      </c>
      <c r="F52" s="68" t="n">
        <v>300</v>
      </c>
      <c r="G52" s="69" t="n">
        <f aca="false">ROUND(0.53*(1-$O$10),2)</f>
        <v>0.53</v>
      </c>
      <c r="H52" s="69" t="n">
        <f aca="false">ROUND(0.6*(1-$O$10),2)</f>
        <v>0.6</v>
      </c>
      <c r="I52" s="69" t="n">
        <f aca="false">ROUND(1.09*(1-$O$10),2)</f>
        <v>1.09</v>
      </c>
      <c r="J52" s="69" t="n">
        <f aca="false">ROUND(0*(1-$O$10),2)</f>
        <v>0</v>
      </c>
      <c r="K52" s="69" t="n">
        <f aca="false">ROUND(0*(1-$O$10),2)</f>
        <v>0</v>
      </c>
      <c r="L52" s="69" t="n">
        <f aca="false">$G52+$H52+$I52+$J52+$K52</f>
        <v>2.22</v>
      </c>
      <c r="M52" s="69" t="n">
        <f aca="false">ROUND($F52*$L52,2)</f>
        <v>666</v>
      </c>
      <c r="N52" s="70" t="n">
        <f aca="false">$O$11</f>
        <v>0.2158185125</v>
      </c>
      <c r="O52" s="69" t="n">
        <f aca="false">ROUND($M52*(1+$N52),2)</f>
        <v>809.74</v>
      </c>
      <c r="P52" s="71" t="n">
        <f aca="false">$O52/$O$9</f>
        <v>0.00224296762449884</v>
      </c>
      <c r="Q52" s="35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customFormat="false" ht="14.25" hidden="false" customHeight="true" outlineLevel="0" collapsed="false">
      <c r="A53" s="65" t="s">
        <v>86</v>
      </c>
      <c r="B53" s="66" t="s">
        <v>69</v>
      </c>
      <c r="C53" s="66" t="n">
        <v>101230</v>
      </c>
      <c r="D53" s="67" t="s">
        <v>87</v>
      </c>
      <c r="E53" s="66" t="s">
        <v>85</v>
      </c>
      <c r="F53" s="68" t="n">
        <v>248</v>
      </c>
      <c r="G53" s="69" t="n">
        <f aca="false">ROUND(4.11*(1-$O$10),2)</f>
        <v>4.11</v>
      </c>
      <c r="H53" s="69" t="n">
        <f aca="false">ROUND(1.46*(1-$O$10),2)</f>
        <v>1.46</v>
      </c>
      <c r="I53" s="69" t="n">
        <f aca="false">ROUND(4.83*(1-$O$10),2)</f>
        <v>4.83</v>
      </c>
      <c r="J53" s="69" t="n">
        <f aca="false">ROUND(0*(1-$O$10),2)</f>
        <v>0</v>
      </c>
      <c r="K53" s="69" t="n">
        <f aca="false">ROUND(0*(1-$O$10),2)</f>
        <v>0</v>
      </c>
      <c r="L53" s="69" t="n">
        <f aca="false">$G53+$H53+$I53+$J53+$K53</f>
        <v>10.4</v>
      </c>
      <c r="M53" s="69" t="n">
        <f aca="false">ROUND($F53*$L53,2)</f>
        <v>2579.2</v>
      </c>
      <c r="N53" s="70" t="n">
        <f aca="false">$O$11</f>
        <v>0.2158185125</v>
      </c>
      <c r="O53" s="69" t="n">
        <f aca="false">ROUND($M53*(1+$N53),2)</f>
        <v>3135.84</v>
      </c>
      <c r="P53" s="71" t="n">
        <f aca="false">$O53/$O$9</f>
        <v>0.00868622964853959</v>
      </c>
      <c r="Q53" s="35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customFormat="false" ht="14.25" hidden="false" customHeight="true" outlineLevel="0" collapsed="false">
      <c r="A54" s="65" t="s">
        <v>88</v>
      </c>
      <c r="B54" s="66" t="s">
        <v>69</v>
      </c>
      <c r="C54" s="66" t="n">
        <v>96385</v>
      </c>
      <c r="D54" s="93" t="s">
        <v>89</v>
      </c>
      <c r="E54" s="66" t="s">
        <v>85</v>
      </c>
      <c r="F54" s="68" t="n">
        <v>548</v>
      </c>
      <c r="G54" s="69" t="n">
        <f aca="false">ROUND(2.42*(1-$O$10),2)</f>
        <v>2.42</v>
      </c>
      <c r="H54" s="69" t="n">
        <f aca="false">ROUND(3.61*(1-$O$10),2)</f>
        <v>3.61</v>
      </c>
      <c r="I54" s="69" t="n">
        <f aca="false">ROUND(6.04*(1-$O$10),2)</f>
        <v>6.04</v>
      </c>
      <c r="J54" s="69" t="n">
        <f aca="false">ROUND(0*(1-$O$10),2)</f>
        <v>0</v>
      </c>
      <c r="K54" s="69" t="n">
        <f aca="false">ROUND(0*(1-$O$10),2)</f>
        <v>0</v>
      </c>
      <c r="L54" s="69" t="n">
        <f aca="false">$G54+$H54+$I54+$J54+$K54</f>
        <v>12.07</v>
      </c>
      <c r="M54" s="69" t="n">
        <f aca="false">ROUND($F54*$L54,2)</f>
        <v>6614.36</v>
      </c>
      <c r="N54" s="70" t="n">
        <f aca="false">$O$11</f>
        <v>0.2158185125</v>
      </c>
      <c r="O54" s="69" t="n">
        <f aca="false">ROUND($M54*(1+$N54),2)</f>
        <v>8041.86</v>
      </c>
      <c r="P54" s="71" t="n">
        <f aca="false">$O54/$O$9</f>
        <v>0.0222758312801051</v>
      </c>
      <c r="Q54" s="35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customFormat="false" ht="14.25" hidden="false" customHeight="true" outlineLevel="0" collapsed="false">
      <c r="A55" s="65" t="s">
        <v>90</v>
      </c>
      <c r="B55" s="66" t="s">
        <v>69</v>
      </c>
      <c r="C55" s="66" t="n">
        <v>100574</v>
      </c>
      <c r="D55" s="67" t="s">
        <v>91</v>
      </c>
      <c r="E55" s="66" t="s">
        <v>85</v>
      </c>
      <c r="F55" s="68" t="n">
        <v>548</v>
      </c>
      <c r="G55" s="69" t="n">
        <f aca="false">ROUND(0.32*(1-$O$10),2)</f>
        <v>0.32</v>
      </c>
      <c r="H55" s="69" t="n">
        <f aca="false">ROUND(0.41*(1-$O$10),2)</f>
        <v>0.41</v>
      </c>
      <c r="I55" s="69" t="n">
        <f aca="false">ROUND(0.73*(1-$O$10),2)</f>
        <v>0.73</v>
      </c>
      <c r="J55" s="69" t="n">
        <f aca="false">ROUND(0*(1-$O$10),2)</f>
        <v>0</v>
      </c>
      <c r="K55" s="69" t="n">
        <f aca="false">ROUND(0*(1-$O$10),2)</f>
        <v>0</v>
      </c>
      <c r="L55" s="69" t="n">
        <f aca="false">$G55+$H55+$I55+$J55+$K55</f>
        <v>1.46</v>
      </c>
      <c r="M55" s="69" t="n">
        <f aca="false">ROUND($F55*$L55,2)</f>
        <v>800.08</v>
      </c>
      <c r="N55" s="70" t="n">
        <f aca="false">$O$11</f>
        <v>0.2158185125</v>
      </c>
      <c r="O55" s="69" t="n">
        <f aca="false">ROUND($M55*(1+$N55),2)</f>
        <v>972.75</v>
      </c>
      <c r="P55" s="71" t="n">
        <f aca="false">$O55/$O$9</f>
        <v>0.00269450287343005</v>
      </c>
      <c r="Q55" s="35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customFormat="false" ht="14.25" hidden="false" customHeight="true" outlineLevel="0" collapsed="false">
      <c r="A56" s="65"/>
      <c r="B56" s="66"/>
      <c r="C56" s="66"/>
      <c r="D56" s="67"/>
      <c r="E56" s="66"/>
      <c r="F56" s="68"/>
      <c r="G56" s="69"/>
      <c r="H56" s="69"/>
      <c r="I56" s="69"/>
      <c r="J56" s="69"/>
      <c r="K56" s="69"/>
      <c r="L56" s="69"/>
      <c r="M56" s="69"/>
      <c r="N56" s="70"/>
      <c r="O56" s="69"/>
      <c r="P56" s="71"/>
      <c r="Q56" s="35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customFormat="false" ht="14.25" hidden="false" customHeight="true" outlineLevel="0" collapsed="false">
      <c r="A57" s="80"/>
      <c r="B57" s="81"/>
      <c r="C57" s="81"/>
      <c r="D57" s="82" t="str">
        <f aca="false">CONCATENATE("SUBTOTAL ITEM: ", $D$50)</f>
        <v>SUBTOTAL ITEM: TERRAPLENAGEM</v>
      </c>
      <c r="E57" s="81"/>
      <c r="F57" s="83"/>
      <c r="G57" s="84"/>
      <c r="H57" s="84"/>
      <c r="I57" s="84"/>
      <c r="J57" s="84"/>
      <c r="K57" s="84"/>
      <c r="L57" s="84"/>
      <c r="M57" s="84" t="n">
        <f aca="false">$M50</f>
        <v>10659.64</v>
      </c>
      <c r="N57" s="85"/>
      <c r="O57" s="84" t="n">
        <f aca="false">$O50</f>
        <v>12960.19</v>
      </c>
      <c r="P57" s="86" t="n">
        <f aca="false">$P50</f>
        <v>0.0358995314265735</v>
      </c>
      <c r="Q57" s="35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customFormat="false" ht="14.25" hidden="false" customHeight="true" outlineLevel="0" collapsed="false">
      <c r="A58" s="65"/>
      <c r="B58" s="66"/>
      <c r="C58" s="66"/>
      <c r="D58" s="67"/>
      <c r="E58" s="66"/>
      <c r="F58" s="68"/>
      <c r="G58" s="69"/>
      <c r="H58" s="69"/>
      <c r="I58" s="69"/>
      <c r="J58" s="69"/>
      <c r="K58" s="69"/>
      <c r="L58" s="69"/>
      <c r="M58" s="69"/>
      <c r="N58" s="70"/>
      <c r="O58" s="69"/>
      <c r="P58" s="71"/>
      <c r="Q58" s="35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customFormat="false" ht="14.25" hidden="false" customHeight="true" outlineLevel="0" collapsed="false">
      <c r="A59" s="79"/>
      <c r="B59" s="73"/>
      <c r="C59" s="73"/>
      <c r="D59" s="74" t="str">
        <f aca="false">CONCATENATE("SUBTOTAL ITEM: ", $D$48)</f>
        <v>SUBTOTAL ITEM: MOVIMENTO DE TERRA – BLOCO DE PROFESSORES</v>
      </c>
      <c r="E59" s="73"/>
      <c r="F59" s="75"/>
      <c r="G59" s="76"/>
      <c r="H59" s="76"/>
      <c r="I59" s="76"/>
      <c r="J59" s="76"/>
      <c r="K59" s="76"/>
      <c r="L59" s="76"/>
      <c r="M59" s="76" t="n">
        <f aca="false">$M48</f>
        <v>10659.64</v>
      </c>
      <c r="N59" s="77"/>
      <c r="O59" s="76" t="n">
        <f aca="false">$O48</f>
        <v>12960.19</v>
      </c>
      <c r="P59" s="78" t="n">
        <f aca="false">$P48</f>
        <v>0.0358995314265735</v>
      </c>
      <c r="Q59" s="35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customFormat="false" ht="14.25" hidden="false" customHeight="true" outlineLevel="0" collapsed="false">
      <c r="A60" s="65"/>
      <c r="B60" s="66"/>
      <c r="C60" s="66"/>
      <c r="D60" s="67"/>
      <c r="E60" s="66"/>
      <c r="F60" s="68"/>
      <c r="G60" s="69"/>
      <c r="H60" s="69"/>
      <c r="I60" s="69"/>
      <c r="J60" s="69"/>
      <c r="K60" s="69"/>
      <c r="L60" s="69"/>
      <c r="M60" s="69"/>
      <c r="N60" s="70"/>
      <c r="O60" s="69"/>
      <c r="P60" s="71"/>
      <c r="Q60" s="35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customFormat="false" ht="14.25" hidden="false" customHeight="true" outlineLevel="0" collapsed="false">
      <c r="A61" s="72" t="s">
        <v>92</v>
      </c>
      <c r="B61" s="73"/>
      <c r="C61" s="73"/>
      <c r="D61" s="74" t="s">
        <v>93</v>
      </c>
      <c r="E61" s="73"/>
      <c r="F61" s="75"/>
      <c r="G61" s="76"/>
      <c r="H61" s="76"/>
      <c r="I61" s="76"/>
      <c r="J61" s="76"/>
      <c r="K61" s="76"/>
      <c r="L61" s="76" t="s">
        <v>49</v>
      </c>
      <c r="M61" s="76" t="n">
        <f aca="false">SUMIFS($M62:$M107, $B62:$B107, "&lt;&gt;")</f>
        <v>139321.38</v>
      </c>
      <c r="N61" s="77"/>
      <c r="O61" s="76" t="n">
        <f aca="false">SUMIFS($O62:$O107, $B62:$B107, "&lt;&gt;")</f>
        <v>169389.5</v>
      </c>
      <c r="P61" s="78" t="n">
        <f aca="false">$O61/$O$9</f>
        <v>0.469206368007072</v>
      </c>
      <c r="Q61" s="35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customFormat="false" ht="14.25" hidden="false" customHeight="true" outlineLevel="0" collapsed="false">
      <c r="A62" s="94"/>
      <c r="B62" s="66"/>
      <c r="C62" s="66"/>
      <c r="D62" s="67"/>
      <c r="E62" s="66"/>
      <c r="F62" s="68"/>
      <c r="G62" s="69"/>
      <c r="H62" s="69"/>
      <c r="I62" s="69"/>
      <c r="J62" s="69"/>
      <c r="K62" s="69"/>
      <c r="L62" s="69"/>
      <c r="M62" s="69"/>
      <c r="N62" s="70"/>
      <c r="O62" s="69"/>
      <c r="P62" s="71"/>
      <c r="Q62" s="35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customFormat="false" ht="14.25" hidden="false" customHeight="true" outlineLevel="0" collapsed="false">
      <c r="A63" s="95" t="s">
        <v>94</v>
      </c>
      <c r="B63" s="96"/>
      <c r="C63" s="96"/>
      <c r="D63" s="97" t="s">
        <v>95</v>
      </c>
      <c r="E63" s="96"/>
      <c r="F63" s="98"/>
      <c r="G63" s="99"/>
      <c r="H63" s="99"/>
      <c r="I63" s="99"/>
      <c r="J63" s="99"/>
      <c r="K63" s="99"/>
      <c r="L63" s="99" t="s">
        <v>49</v>
      </c>
      <c r="M63" s="99" t="n">
        <f aca="false">SUMIFS($M64:$M69, $B64:$B69, "&lt;&gt;")</f>
        <v>2383.72</v>
      </c>
      <c r="N63" s="100"/>
      <c r="O63" s="99" t="n">
        <f aca="false">SUMIFS($O64:$O69, $B64:$B69, "&lt;&gt;")</f>
        <v>2898.16</v>
      </c>
      <c r="P63" s="101" t="n">
        <f aca="false">$O63/$O$9</f>
        <v>0.00802785962236961</v>
      </c>
      <c r="Q63" s="35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customFormat="false" ht="14.25" hidden="false" customHeight="true" outlineLevel="0" collapsed="false">
      <c r="A64" s="102"/>
      <c r="B64" s="103"/>
      <c r="C64" s="103"/>
      <c r="D64" s="104"/>
      <c r="E64" s="103"/>
      <c r="F64" s="105"/>
      <c r="G64" s="106"/>
      <c r="H64" s="106"/>
      <c r="I64" s="106"/>
      <c r="J64" s="106"/>
      <c r="K64" s="106"/>
      <c r="L64" s="106"/>
      <c r="M64" s="106"/>
      <c r="N64" s="107"/>
      <c r="O64" s="106"/>
      <c r="P64" s="108"/>
      <c r="Q64" s="35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customFormat="false" ht="14.25" hidden="false" customHeight="true" outlineLevel="0" collapsed="false">
      <c r="A65" s="65" t="s">
        <v>96</v>
      </c>
      <c r="B65" s="66" t="s">
        <v>69</v>
      </c>
      <c r="C65" s="66" t="n">
        <v>90105</v>
      </c>
      <c r="D65" s="67" t="s">
        <v>97</v>
      </c>
      <c r="E65" s="66" t="s">
        <v>85</v>
      </c>
      <c r="F65" s="68" t="n">
        <f aca="false">0.4*0.8*1.5*1.5*2</f>
        <v>1.44</v>
      </c>
      <c r="G65" s="69" t="n">
        <f aca="false">ROUND(2.3*(1-$O$10),2)</f>
        <v>2.3</v>
      </c>
      <c r="H65" s="69" t="n">
        <f aca="false">ROUND(3.2*(1-$O$10),2)</f>
        <v>3.2</v>
      </c>
      <c r="I65" s="69" t="n">
        <f aca="false">ROUND(3.04*(1-$O$10),2)</f>
        <v>3.04</v>
      </c>
      <c r="J65" s="69" t="n">
        <f aca="false">ROUND(0*(1-$O$10),2)</f>
        <v>0</v>
      </c>
      <c r="K65" s="69" t="n">
        <f aca="false">ROUND(0*(1-$O$10),2)</f>
        <v>0</v>
      </c>
      <c r="L65" s="69" t="n">
        <f aca="false">$G65+$H65+$I65+$J65+$K65</f>
        <v>8.54</v>
      </c>
      <c r="M65" s="69" t="n">
        <f aca="false">ROUND($F65*$L65,2)</f>
        <v>12.3</v>
      </c>
      <c r="N65" s="70" t="n">
        <f aca="false">$O$11</f>
        <v>0.2158185125</v>
      </c>
      <c r="O65" s="69" t="n">
        <f aca="false">ROUND($M65*(1+$N65),2)</f>
        <v>14.95</v>
      </c>
      <c r="P65" s="71" t="n">
        <f aca="false">$O65/$O$9</f>
        <v>4.14112752071748E-005</v>
      </c>
      <c r="Q65" s="35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customFormat="false" ht="14.25" hidden="false" customHeight="true" outlineLevel="0" collapsed="false">
      <c r="A66" s="65" t="s">
        <v>98</v>
      </c>
      <c r="B66" s="66" t="s">
        <v>69</v>
      </c>
      <c r="C66" s="66" t="n">
        <v>93378</v>
      </c>
      <c r="D66" s="67" t="s">
        <v>99</v>
      </c>
      <c r="E66" s="66" t="s">
        <v>85</v>
      </c>
      <c r="F66" s="68" t="n">
        <f aca="false">F65*0.5</f>
        <v>0.72</v>
      </c>
      <c r="G66" s="69" t="n">
        <f aca="false">ROUND(7.49*(1-$O$10),2)</f>
        <v>7.49</v>
      </c>
      <c r="H66" s="69" t="n">
        <f aca="false">ROUND(14.11*(1-$O$10),2)</f>
        <v>14.11</v>
      </c>
      <c r="I66" s="69" t="n">
        <f aca="false">ROUND(5.07*(1-$O$10),2)</f>
        <v>5.07</v>
      </c>
      <c r="J66" s="69" t="n">
        <f aca="false">ROUND(0*(1-$O$10),2)</f>
        <v>0</v>
      </c>
      <c r="K66" s="69" t="n">
        <f aca="false">ROUND(0*(1-$O$10),2)</f>
        <v>0</v>
      </c>
      <c r="L66" s="69" t="n">
        <f aca="false">$G66+$H66+$I66+$J66+$K66</f>
        <v>26.67</v>
      </c>
      <c r="M66" s="69" t="n">
        <f aca="false">ROUND($F66*$L66,2)</f>
        <v>19.2</v>
      </c>
      <c r="N66" s="70" t="n">
        <f aca="false">$O$11</f>
        <v>0.2158185125</v>
      </c>
      <c r="O66" s="69" t="n">
        <f aca="false">ROUND($M66*(1+$N66),2)</f>
        <v>23.34</v>
      </c>
      <c r="P66" s="71" t="n">
        <f aca="false">$O66/$O$9</f>
        <v>6.46514490525391E-005</v>
      </c>
      <c r="Q66" s="35"/>
      <c r="R66" s="87"/>
      <c r="S66" s="87"/>
      <c r="T66" s="88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customFormat="false" ht="14.25" hidden="false" customHeight="true" outlineLevel="0" collapsed="false">
      <c r="A67" s="65" t="s">
        <v>100</v>
      </c>
      <c r="B67" s="66" t="s">
        <v>51</v>
      </c>
      <c r="C67" s="66" t="s">
        <v>101</v>
      </c>
      <c r="D67" s="67" t="s">
        <v>102</v>
      </c>
      <c r="E67" s="66" t="s">
        <v>54</v>
      </c>
      <c r="F67" s="68" t="n">
        <v>2</v>
      </c>
      <c r="G67" s="69" t="n">
        <f aca="false">ROUND(645.99*(1-$O$10),2)</f>
        <v>645.99</v>
      </c>
      <c r="H67" s="69" t="n">
        <f aca="false">ROUND(364.75*(1-$O$10),2)</f>
        <v>364.75</v>
      </c>
      <c r="I67" s="69" t="n">
        <f aca="false">ROUND(0.69*(1-$O$10),2)</f>
        <v>0.69</v>
      </c>
      <c r="J67" s="69" t="n">
        <f aca="false">ROUND(0*(1-$O$10),2)</f>
        <v>0</v>
      </c>
      <c r="K67" s="69" t="n">
        <f aca="false">ROUND(0.48*(1-$O$10),2)</f>
        <v>0.48</v>
      </c>
      <c r="L67" s="69" t="n">
        <f aca="false">$G67+$H67+$I67+$J67+$K67</f>
        <v>1011.91</v>
      </c>
      <c r="M67" s="69" t="n">
        <f aca="false">ROUND($F67*$L67,2)</f>
        <v>2023.82</v>
      </c>
      <c r="N67" s="70" t="n">
        <f aca="false">$O$11</f>
        <v>0.2158185125</v>
      </c>
      <c r="O67" s="69" t="n">
        <f aca="false">ROUND($M67*(1+$N67),2)</f>
        <v>2460.6</v>
      </c>
      <c r="P67" s="71" t="n">
        <f aca="false">$O67/$O$9</f>
        <v>0.00681582500165714</v>
      </c>
      <c r="Q67" s="35"/>
      <c r="R67" s="87"/>
      <c r="S67" s="87"/>
      <c r="T67" s="88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customFormat="false" ht="14.25" hidden="false" customHeight="true" outlineLevel="0" collapsed="false">
      <c r="A68" s="65" t="s">
        <v>103</v>
      </c>
      <c r="B68" s="66" t="s">
        <v>51</v>
      </c>
      <c r="C68" s="66" t="s">
        <v>104</v>
      </c>
      <c r="D68" s="67" t="s">
        <v>105</v>
      </c>
      <c r="E68" s="66" t="s">
        <v>106</v>
      </c>
      <c r="F68" s="68" t="n">
        <v>2</v>
      </c>
      <c r="G68" s="69" t="n">
        <f aca="false">ROUND(128.22*(1-$O$10),2)</f>
        <v>128.22</v>
      </c>
      <c r="H68" s="69" t="n">
        <f aca="false">ROUND(35.98*(1-$O$10),2)</f>
        <v>35.98</v>
      </c>
      <c r="I68" s="69" t="n">
        <f aca="false">ROUND(0*(1-$O$10),2)</f>
        <v>0</v>
      </c>
      <c r="J68" s="69" t="n">
        <f aca="false">ROUND(0*(1-$O$10),2)</f>
        <v>0</v>
      </c>
      <c r="K68" s="69" t="n">
        <f aca="false">ROUND(0*(1-$O$10),2)</f>
        <v>0</v>
      </c>
      <c r="L68" s="69" t="n">
        <f aca="false">$G68+$H68+$I68+$J68+$K68</f>
        <v>164.2</v>
      </c>
      <c r="M68" s="69" t="n">
        <f aca="false">ROUND($F68*$L68,2)</f>
        <v>328.4</v>
      </c>
      <c r="N68" s="70" t="n">
        <f aca="false">$O$11</f>
        <v>0.2158185125</v>
      </c>
      <c r="O68" s="69" t="n">
        <f aca="false">ROUND($M68*(1+$N68),2)</f>
        <v>399.27</v>
      </c>
      <c r="P68" s="71" t="n">
        <f aca="false">$O68/$O$9</f>
        <v>0.00110597189645275</v>
      </c>
      <c r="Q68" s="35"/>
      <c r="R68" s="87"/>
      <c r="S68" s="87"/>
      <c r="T68" s="88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customFormat="false" ht="14.25" hidden="false" customHeight="true" outlineLevel="0" collapsed="false">
      <c r="A69" s="102"/>
      <c r="B69" s="103"/>
      <c r="C69" s="103"/>
      <c r="D69" s="104"/>
      <c r="E69" s="103"/>
      <c r="F69" s="105"/>
      <c r="G69" s="106"/>
      <c r="H69" s="106"/>
      <c r="I69" s="106"/>
      <c r="J69" s="106"/>
      <c r="K69" s="106"/>
      <c r="L69" s="106"/>
      <c r="M69" s="106"/>
      <c r="N69" s="107"/>
      <c r="O69" s="106"/>
      <c r="P69" s="108"/>
      <c r="Q69" s="35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customFormat="false" ht="14.25" hidden="false" customHeight="true" outlineLevel="0" collapsed="false">
      <c r="A70" s="95"/>
      <c r="B70" s="96"/>
      <c r="C70" s="96"/>
      <c r="D70" s="97" t="str">
        <f aca="false">CONCATENATE("SUBTOTAL ITEM: ", $D$63)</f>
        <v>SUBTOTAL ITEM: DRENAGEM</v>
      </c>
      <c r="E70" s="96"/>
      <c r="F70" s="98"/>
      <c r="G70" s="99"/>
      <c r="H70" s="99"/>
      <c r="I70" s="99"/>
      <c r="J70" s="99"/>
      <c r="K70" s="99"/>
      <c r="L70" s="99"/>
      <c r="M70" s="99" t="n">
        <f aca="false">$M63</f>
        <v>2383.72</v>
      </c>
      <c r="N70" s="100"/>
      <c r="O70" s="99" t="n">
        <f aca="false">$O63</f>
        <v>2898.16</v>
      </c>
      <c r="P70" s="101" t="n">
        <f aca="false">$P63</f>
        <v>0.00802785962236961</v>
      </c>
      <c r="Q70" s="35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customFormat="false" ht="14.25" hidden="false" customHeight="true" outlineLevel="0" collapsed="false">
      <c r="A71" s="65"/>
      <c r="B71" s="66"/>
      <c r="C71" s="66"/>
      <c r="D71" s="67"/>
      <c r="E71" s="66"/>
      <c r="F71" s="68"/>
      <c r="G71" s="69"/>
      <c r="H71" s="69"/>
      <c r="I71" s="69"/>
      <c r="J71" s="69"/>
      <c r="K71" s="69"/>
      <c r="L71" s="69"/>
      <c r="M71" s="69"/>
      <c r="N71" s="70"/>
      <c r="O71" s="69"/>
      <c r="P71" s="71"/>
      <c r="Q71" s="35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customFormat="false" ht="14.25" hidden="false" customHeight="true" outlineLevel="0" collapsed="false">
      <c r="A72" s="80" t="s">
        <v>107</v>
      </c>
      <c r="B72" s="81"/>
      <c r="C72" s="81"/>
      <c r="D72" s="82" t="s">
        <v>108</v>
      </c>
      <c r="E72" s="81"/>
      <c r="F72" s="83"/>
      <c r="G72" s="84"/>
      <c r="H72" s="84"/>
      <c r="I72" s="84"/>
      <c r="J72" s="84"/>
      <c r="K72" s="84"/>
      <c r="L72" s="84" t="s">
        <v>49</v>
      </c>
      <c r="M72" s="84" t="n">
        <f aca="false">SUMIFS($M73:$M87, $B73:$B87, "&lt;&gt;")</f>
        <v>124333.19</v>
      </c>
      <c r="N72" s="85"/>
      <c r="O72" s="84" t="n">
        <f aca="false">SUMIFS($O73:$O87, $B73:$B87, "&lt;&gt;")</f>
        <v>151166.58</v>
      </c>
      <c r="P72" s="86" t="n">
        <f aca="false">$O72/$O$9</f>
        <v>0.418729153612535</v>
      </c>
      <c r="Q72" s="35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customFormat="false" ht="14.25" hidden="false" customHeight="true" outlineLevel="0" collapsed="false">
      <c r="A73" s="65"/>
      <c r="B73" s="66"/>
      <c r="C73" s="66"/>
      <c r="D73" s="67"/>
      <c r="E73" s="66"/>
      <c r="F73" s="68"/>
      <c r="G73" s="69"/>
      <c r="H73" s="69"/>
      <c r="I73" s="69"/>
      <c r="J73" s="69"/>
      <c r="K73" s="69"/>
      <c r="L73" s="69"/>
      <c r="M73" s="69"/>
      <c r="N73" s="70"/>
      <c r="O73" s="69"/>
      <c r="P73" s="71"/>
      <c r="Q73" s="35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customFormat="false" ht="14.25" hidden="false" customHeight="true" outlineLevel="0" collapsed="false">
      <c r="A74" s="65" t="s">
        <v>109</v>
      </c>
      <c r="B74" s="66" t="s">
        <v>69</v>
      </c>
      <c r="C74" s="66" t="n">
        <v>100576</v>
      </c>
      <c r="D74" s="67" t="s">
        <v>110</v>
      </c>
      <c r="E74" s="66" t="s">
        <v>62</v>
      </c>
      <c r="F74" s="68" t="n">
        <f aca="false">856.83+F82</f>
        <v>900.39</v>
      </c>
      <c r="G74" s="69" t="n">
        <f aca="false">ROUND(0.41*(1-$O$10),2)</f>
        <v>0.41</v>
      </c>
      <c r="H74" s="69" t="n">
        <f aca="false">ROUND(0.9*(1-$O$10),2)</f>
        <v>0.9</v>
      </c>
      <c r="I74" s="69" t="n">
        <f aca="false">ROUND(1.32*(1-$O$10),2)</f>
        <v>1.32</v>
      </c>
      <c r="J74" s="69" t="n">
        <f aca="false">ROUND(0*(1-$O$10),2)</f>
        <v>0</v>
      </c>
      <c r="K74" s="69" t="n">
        <f aca="false">ROUND(0*(1-$O$10),2)</f>
        <v>0</v>
      </c>
      <c r="L74" s="69" t="n">
        <f aca="false">$G74+$H74+$I74+$J74+$K74</f>
        <v>2.63</v>
      </c>
      <c r="M74" s="69" t="n">
        <f aca="false">ROUND($F74*$L74,2)</f>
        <v>2368.03</v>
      </c>
      <c r="N74" s="70" t="n">
        <f aca="false">$O$11</f>
        <v>0.2158185125</v>
      </c>
      <c r="O74" s="69" t="n">
        <f aca="false">ROUND($M74*(1+$N74),2)</f>
        <v>2879.09</v>
      </c>
      <c r="P74" s="71" t="n">
        <f aca="false">$O74/$O$9</f>
        <v>0.00797503600911203</v>
      </c>
      <c r="Q74" s="35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customFormat="false" ht="14.25" hidden="false" customHeight="true" outlineLevel="0" collapsed="false">
      <c r="A75" s="65" t="s">
        <v>111</v>
      </c>
      <c r="B75" s="66" t="s">
        <v>69</v>
      </c>
      <c r="C75" s="66" t="n">
        <v>96400</v>
      </c>
      <c r="D75" s="67" t="s">
        <v>112</v>
      </c>
      <c r="E75" s="66" t="s">
        <v>85</v>
      </c>
      <c r="F75" s="68" t="n">
        <f aca="false">F74*0.15</f>
        <v>135.0585</v>
      </c>
      <c r="G75" s="69" t="n">
        <f aca="false">ROUND(90.46*(1-$O$10),2)</f>
        <v>90.46</v>
      </c>
      <c r="H75" s="69" t="n">
        <f aca="false">ROUND(6.12*(1-$O$10),2)</f>
        <v>6.12</v>
      </c>
      <c r="I75" s="69" t="n">
        <f aca="false">ROUND(12.45*(1-$O$10),2)</f>
        <v>12.45</v>
      </c>
      <c r="J75" s="69" t="n">
        <f aca="false">ROUND(0*(1-$O$10),2)</f>
        <v>0</v>
      </c>
      <c r="K75" s="69" t="n">
        <f aca="false">ROUND(0*(1-$O$10),2)</f>
        <v>0</v>
      </c>
      <c r="L75" s="69" t="n">
        <f aca="false">$G75+$H75+$I75+$J75+$K75</f>
        <v>109.03</v>
      </c>
      <c r="M75" s="69" t="n">
        <f aca="false">ROUND($F75*$L75,2)</f>
        <v>14725.43</v>
      </c>
      <c r="N75" s="70" t="n">
        <f aca="false">$O$11</f>
        <v>0.2158185125</v>
      </c>
      <c r="O75" s="69" t="n">
        <f aca="false">ROUND($M75*(1+$N75),2)</f>
        <v>17903.45</v>
      </c>
      <c r="P75" s="71" t="n">
        <f aca="false">$O75/$O$9</f>
        <v>0.0495922872981868</v>
      </c>
      <c r="Q75" s="35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customFormat="false" ht="14.25" hidden="false" customHeight="true" outlineLevel="0" collapsed="false">
      <c r="A76" s="65" t="s">
        <v>113</v>
      </c>
      <c r="B76" s="66" t="s">
        <v>69</v>
      </c>
      <c r="C76" s="66" t="n">
        <v>96396</v>
      </c>
      <c r="D76" s="67" t="s">
        <v>114</v>
      </c>
      <c r="E76" s="66" t="s">
        <v>85</v>
      </c>
      <c r="F76" s="68" t="n">
        <f aca="false">F74*0.1</f>
        <v>90.039</v>
      </c>
      <c r="G76" s="69" t="n">
        <f aca="false">ROUND(104.33*(1-$O$10),2)</f>
        <v>104.33</v>
      </c>
      <c r="H76" s="69" t="n">
        <f aca="false">ROUND(5.08*(1-$O$10),2)</f>
        <v>5.08</v>
      </c>
      <c r="I76" s="69" t="n">
        <f aca="false">ROUND(10.1*(1-$O$10),2)</f>
        <v>10.1</v>
      </c>
      <c r="J76" s="69" t="n">
        <f aca="false">ROUND(0*(1-$O$10),2)</f>
        <v>0</v>
      </c>
      <c r="K76" s="69" t="n">
        <f aca="false">ROUND(0.28*(1-$O$10),2)</f>
        <v>0.28</v>
      </c>
      <c r="L76" s="69" t="n">
        <f aca="false">$G76+$H76+$I76+$J76+$K76</f>
        <v>119.79</v>
      </c>
      <c r="M76" s="69" t="n">
        <f aca="false">ROUND($F76*$L76,2)</f>
        <v>10785.77</v>
      </c>
      <c r="N76" s="70" t="n">
        <f aca="false">$O$11</f>
        <v>0.2158185125</v>
      </c>
      <c r="O76" s="69" t="n">
        <f aca="false">ROUND($M76*(1+$N76),2)</f>
        <v>13113.54</v>
      </c>
      <c r="P76" s="71" t="n">
        <f aca="false">$O76/$O$9</f>
        <v>0.0363243086207555</v>
      </c>
      <c r="Q76" s="35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customFormat="false" ht="14.25" hidden="false" customHeight="true" outlineLevel="0" collapsed="false">
      <c r="A77" s="65" t="s">
        <v>115</v>
      </c>
      <c r="B77" s="66" t="s">
        <v>69</v>
      </c>
      <c r="C77" s="66" t="n">
        <v>94273</v>
      </c>
      <c r="D77" s="67" t="s">
        <v>116</v>
      </c>
      <c r="E77" s="66" t="s">
        <v>106</v>
      </c>
      <c r="F77" s="68" t="n">
        <v>197.71</v>
      </c>
      <c r="G77" s="69" t="n">
        <f aca="false">ROUND(33.11*(1-$O$10),2)</f>
        <v>33.11</v>
      </c>
      <c r="H77" s="69" t="n">
        <f aca="false">ROUND(16.89*(1-$O$10),2)</f>
        <v>16.89</v>
      </c>
      <c r="I77" s="69" t="n">
        <f aca="false">ROUND(0*(1-$O$10),2)</f>
        <v>0</v>
      </c>
      <c r="J77" s="69" t="n">
        <f aca="false">ROUND(0*(1-$O$10),2)</f>
        <v>0</v>
      </c>
      <c r="K77" s="69" t="n">
        <f aca="false">ROUND(0*(1-$O$10),2)</f>
        <v>0</v>
      </c>
      <c r="L77" s="69" t="n">
        <f aca="false">$G77+$H77+$I77+$J77+$K77</f>
        <v>50</v>
      </c>
      <c r="M77" s="69" t="n">
        <f aca="false">ROUND($F77*$L77,2)</f>
        <v>9885.5</v>
      </c>
      <c r="N77" s="70" t="n">
        <f aca="false">$O$11</f>
        <v>0.2158185125</v>
      </c>
      <c r="O77" s="69" t="n">
        <f aca="false">ROUND($M77*(1+$N77),2)</f>
        <v>12018.97</v>
      </c>
      <c r="P77" s="71" t="n">
        <f aca="false">$O77/$O$9</f>
        <v>0.0332923661790487</v>
      </c>
      <c r="Q77" s="35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  <row r="78" customFormat="false" ht="14.25" hidden="false" customHeight="true" outlineLevel="0" collapsed="false">
      <c r="A78" s="65" t="s">
        <v>117</v>
      </c>
      <c r="B78" s="66" t="s">
        <v>51</v>
      </c>
      <c r="C78" s="66" t="s">
        <v>118</v>
      </c>
      <c r="D78" s="67" t="s">
        <v>119</v>
      </c>
      <c r="E78" s="66" t="s">
        <v>62</v>
      </c>
      <c r="F78" s="68" t="n">
        <v>856.83</v>
      </c>
      <c r="G78" s="69" t="n">
        <f aca="false">ROUND(82.61*(1-$O$10),2)</f>
        <v>82.61</v>
      </c>
      <c r="H78" s="69" t="n">
        <f aca="false">ROUND(10.04*(1-$O$10),2)</f>
        <v>10.04</v>
      </c>
      <c r="I78" s="69" t="n">
        <f aca="false">ROUND(0.21*(1-$O$10),2)</f>
        <v>0.21</v>
      </c>
      <c r="J78" s="69" t="n">
        <f aca="false">ROUND(0*(1-$O$10),2)</f>
        <v>0</v>
      </c>
      <c r="K78" s="69" t="n">
        <f aca="false">ROUND(0*(1-$O$10),2)</f>
        <v>0</v>
      </c>
      <c r="L78" s="69" t="n">
        <f aca="false">$G78+$H78+$I78+$J78+$K78</f>
        <v>92.86</v>
      </c>
      <c r="M78" s="69" t="n">
        <f aca="false">ROUND($F78*$L78,2)</f>
        <v>79565.23</v>
      </c>
      <c r="N78" s="70" t="n">
        <f aca="false">$O$11</f>
        <v>0.2158185125</v>
      </c>
      <c r="O78" s="69" t="n">
        <f aca="false">ROUND($M78*(1+$N78),2)</f>
        <v>96736.88</v>
      </c>
      <c r="P78" s="71" t="n">
        <f aca="false">$O78/$O$9</f>
        <v>0.267959703034344</v>
      </c>
      <c r="Q78" s="35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</row>
    <row r="79" customFormat="false" ht="14.25" hidden="false" customHeight="true" outlineLevel="0" collapsed="false">
      <c r="A79" s="65" t="s">
        <v>120</v>
      </c>
      <c r="B79" s="66" t="s">
        <v>69</v>
      </c>
      <c r="C79" s="66" t="n">
        <v>97086</v>
      </c>
      <c r="D79" s="67" t="s">
        <v>121</v>
      </c>
      <c r="E79" s="66" t="s">
        <v>62</v>
      </c>
      <c r="F79" s="68" t="n">
        <v>1.66</v>
      </c>
      <c r="G79" s="69" t="n">
        <f aca="false">ROUND(66.35*(1-$O$10),2)</f>
        <v>66.35</v>
      </c>
      <c r="H79" s="69" t="n">
        <f aca="false">ROUND(84.72*(1-$O$10),2)</f>
        <v>84.72</v>
      </c>
      <c r="I79" s="69" t="n">
        <f aca="false">ROUND(0*(1-$O$10),2)</f>
        <v>0</v>
      </c>
      <c r="J79" s="69" t="n">
        <f aca="false">ROUND(0*(1-$O$10),2)</f>
        <v>0</v>
      </c>
      <c r="K79" s="69" t="n">
        <f aca="false">ROUND(0*(1-$O$10),2)</f>
        <v>0</v>
      </c>
      <c r="L79" s="69" t="n">
        <f aca="false">$G79+$H79+$I79+$J79+$K79</f>
        <v>151.07</v>
      </c>
      <c r="M79" s="69" t="n">
        <f aca="false">ROUND($F79*$L79,2)</f>
        <v>250.78</v>
      </c>
      <c r="N79" s="70" t="n">
        <f aca="false">$O$11</f>
        <v>0.2158185125</v>
      </c>
      <c r="O79" s="69" t="n">
        <f aca="false">ROUND($M79*(1+$N79),2)</f>
        <v>304.9</v>
      </c>
      <c r="P79" s="71" t="n">
        <f aca="false">$O79/$O$9</f>
        <v>0.00084456841542927</v>
      </c>
      <c r="Q79" s="35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</row>
    <row r="80" customFormat="false" ht="14.25" hidden="false" customHeight="true" outlineLevel="0" collapsed="false">
      <c r="A80" s="65" t="s">
        <v>122</v>
      </c>
      <c r="B80" s="66" t="s">
        <v>51</v>
      </c>
      <c r="C80" s="66" t="s">
        <v>123</v>
      </c>
      <c r="D80" s="67" t="s">
        <v>124</v>
      </c>
      <c r="E80" s="66" t="s">
        <v>62</v>
      </c>
      <c r="F80" s="68" t="n">
        <v>43.56</v>
      </c>
      <c r="G80" s="69" t="n">
        <f aca="false">ROUND(3.17*(1-$O$10),2)</f>
        <v>3.17</v>
      </c>
      <c r="H80" s="69" t="n">
        <f aca="false">ROUND(4.94*(1-$O$10),2)</f>
        <v>4.94</v>
      </c>
      <c r="I80" s="69" t="n">
        <f aca="false">ROUND(0*(1-$O$10),2)</f>
        <v>0</v>
      </c>
      <c r="J80" s="69" t="n">
        <f aca="false">ROUND(0*(1-$O$10),2)</f>
        <v>0</v>
      </c>
      <c r="K80" s="69" t="n">
        <f aca="false">ROUND(0*(1-$O$10),2)</f>
        <v>0</v>
      </c>
      <c r="L80" s="69" t="n">
        <f aca="false">$G80+$H80+$I80+$J80+$K80</f>
        <v>8.11</v>
      </c>
      <c r="M80" s="69" t="n">
        <f aca="false">ROUND($F80*$L80,2)</f>
        <v>353.27</v>
      </c>
      <c r="N80" s="70" t="n">
        <f aca="false">$O$11</f>
        <v>0.2158185125</v>
      </c>
      <c r="O80" s="69" t="n">
        <f aca="false">ROUND($M80*(1+$N80),2)</f>
        <v>429.51</v>
      </c>
      <c r="P80" s="71" t="n">
        <f aca="false">$O80/$O$9</f>
        <v>0.00118973624175476</v>
      </c>
      <c r="Q80" s="35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</row>
    <row r="81" customFormat="false" ht="14.25" hidden="false" customHeight="true" outlineLevel="0" collapsed="false">
      <c r="A81" s="65" t="s">
        <v>125</v>
      </c>
      <c r="B81" s="66" t="s">
        <v>69</v>
      </c>
      <c r="C81" s="66" t="n">
        <v>97090</v>
      </c>
      <c r="D81" s="67" t="s">
        <v>126</v>
      </c>
      <c r="E81" s="66" t="s">
        <v>127</v>
      </c>
      <c r="F81" s="68" t="n">
        <f aca="false">2.2*F80</f>
        <v>95.832</v>
      </c>
      <c r="G81" s="69" t="n">
        <f aca="false">ROUND(13.56*(1-$O$10),2)</f>
        <v>13.56</v>
      </c>
      <c r="H81" s="69" t="n">
        <f aca="false">ROUND(0.92*(1-$O$10),2)</f>
        <v>0.92</v>
      </c>
      <c r="I81" s="69" t="n">
        <f aca="false">ROUND(0*(1-$O$10),2)</f>
        <v>0</v>
      </c>
      <c r="J81" s="69" t="n">
        <f aca="false">ROUND(0*(1-$O$10),2)</f>
        <v>0</v>
      </c>
      <c r="K81" s="69" t="n">
        <f aca="false">ROUND(0*(1-$O$10),2)</f>
        <v>0</v>
      </c>
      <c r="L81" s="69" t="n">
        <f aca="false">$G81+$H81+$I81+$J81+$K81</f>
        <v>14.48</v>
      </c>
      <c r="M81" s="69" t="n">
        <f aca="false">ROUND($F81*$L81,2)</f>
        <v>1387.65</v>
      </c>
      <c r="N81" s="70" t="n">
        <f aca="false">$O$11</f>
        <v>0.2158185125</v>
      </c>
      <c r="O81" s="69" t="n">
        <f aca="false">ROUND($M81*(1+$N81),2)</f>
        <v>1687.13</v>
      </c>
      <c r="P81" s="71" t="n">
        <f aca="false">$O81/$O$9</f>
        <v>0.00467332473179136</v>
      </c>
      <c r="Q81" s="35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</row>
    <row r="82" customFormat="false" ht="14.25" hidden="false" customHeight="true" outlineLevel="0" collapsed="false">
      <c r="A82" s="65" t="s">
        <v>128</v>
      </c>
      <c r="B82" s="66" t="s">
        <v>51</v>
      </c>
      <c r="C82" s="66" t="s">
        <v>129</v>
      </c>
      <c r="D82" s="67" t="s">
        <v>130</v>
      </c>
      <c r="E82" s="66" t="s">
        <v>62</v>
      </c>
      <c r="F82" s="68" t="n">
        <v>43.56</v>
      </c>
      <c r="G82" s="69" t="n">
        <f aca="false">ROUND(62.45*(1-$O$10),2)</f>
        <v>62.45</v>
      </c>
      <c r="H82" s="69" t="n">
        <f aca="false">ROUND(25.79*(1-$O$10),2)</f>
        <v>25.79</v>
      </c>
      <c r="I82" s="69" t="n">
        <f aca="false">ROUND(0.72*(1-$O$10),2)</f>
        <v>0.72</v>
      </c>
      <c r="J82" s="69" t="n">
        <f aca="false">ROUND(0*(1-$O$10),2)</f>
        <v>0</v>
      </c>
      <c r="K82" s="69" t="n">
        <f aca="false">ROUND(1.42*(1-$O$10),2)</f>
        <v>1.42</v>
      </c>
      <c r="L82" s="69" t="n">
        <f aca="false">$G82+$H82+$I82+$J82+$K82</f>
        <v>90.38</v>
      </c>
      <c r="M82" s="69" t="n">
        <f aca="false">ROUND($F82*$L82,2)</f>
        <v>3936.95</v>
      </c>
      <c r="N82" s="70" t="n">
        <f aca="false">$O$11</f>
        <v>0.2158185125</v>
      </c>
      <c r="O82" s="69" t="n">
        <f aca="false">ROUND($M82*(1+$N82),2)</f>
        <v>4786.62</v>
      </c>
      <c r="P82" s="71" t="n">
        <f aca="false">$O82/$O$9</f>
        <v>0.0132588654269008</v>
      </c>
      <c r="Q82" s="35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</row>
    <row r="83" customFormat="false" ht="14.25" hidden="false" customHeight="true" outlineLevel="0" collapsed="false">
      <c r="A83" s="65" t="s">
        <v>131</v>
      </c>
      <c r="B83" s="66" t="s">
        <v>69</v>
      </c>
      <c r="C83" s="66" t="n">
        <v>101862</v>
      </c>
      <c r="D83" s="67" t="s">
        <v>132</v>
      </c>
      <c r="E83" s="66" t="s">
        <v>62</v>
      </c>
      <c r="F83" s="68" t="n">
        <f aca="false">12.3+5.28+0.96</f>
        <v>18.54</v>
      </c>
      <c r="G83" s="69" t="n">
        <f aca="false">ROUND(15.91*(1-$O$10),2)</f>
        <v>15.91</v>
      </c>
      <c r="H83" s="69" t="n">
        <f aca="false">ROUND(22.64*(1-$O$10),2)</f>
        <v>22.64</v>
      </c>
      <c r="I83" s="69" t="n">
        <f aca="false">ROUND(0.05*(1-$O$10),2)</f>
        <v>0.05</v>
      </c>
      <c r="J83" s="69" t="n">
        <f aca="false">ROUND(0*(1-$O$10),2)</f>
        <v>0</v>
      </c>
      <c r="K83" s="69" t="n">
        <f aca="false">ROUND(0*(1-$O$10),2)</f>
        <v>0</v>
      </c>
      <c r="L83" s="69" t="n">
        <f aca="false">$G83+$H83+$I83+$J83+$K83</f>
        <v>38.6</v>
      </c>
      <c r="M83" s="69" t="n">
        <f aca="false">ROUND($F83*$L83,2)</f>
        <v>715.64</v>
      </c>
      <c r="N83" s="70" t="n">
        <f aca="false">$O$11</f>
        <v>0.2158185125</v>
      </c>
      <c r="O83" s="69" t="n">
        <f aca="false">ROUND($M83*(1+$N83),2)</f>
        <v>870.09</v>
      </c>
      <c r="P83" s="71" t="n">
        <f aca="false">$O83/$O$9</f>
        <v>0.00241013621705757</v>
      </c>
      <c r="Q83" s="35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</row>
    <row r="84" customFormat="false" ht="14.25" hidden="false" customHeight="true" outlineLevel="0" collapsed="false">
      <c r="A84" s="65" t="s">
        <v>133</v>
      </c>
      <c r="B84" s="66" t="s">
        <v>69</v>
      </c>
      <c r="C84" s="66" t="n">
        <v>97114</v>
      </c>
      <c r="D84" s="67" t="s">
        <v>134</v>
      </c>
      <c r="E84" s="66" t="s">
        <v>106</v>
      </c>
      <c r="F84" s="68" t="n">
        <v>5.1</v>
      </c>
      <c r="G84" s="69" t="n">
        <f aca="false">ROUND(0.07*(1-$O$10),2)</f>
        <v>0.07</v>
      </c>
      <c r="H84" s="69" t="n">
        <f aca="false">ROUND(0.37*(1-$O$10),2)</f>
        <v>0.37</v>
      </c>
      <c r="I84" s="69" t="n">
        <f aca="false">ROUND(0*(1-$O$10),2)</f>
        <v>0</v>
      </c>
      <c r="J84" s="69" t="n">
        <f aca="false">ROUND(0*(1-$O$10),2)</f>
        <v>0</v>
      </c>
      <c r="K84" s="69" t="n">
        <f aca="false">ROUND(0*(1-$O$10),2)</f>
        <v>0</v>
      </c>
      <c r="L84" s="69" t="n">
        <f aca="false">$G84+$H84+$I84+$J84+$K84</f>
        <v>0.44</v>
      </c>
      <c r="M84" s="69" t="n">
        <f aca="false">ROUND($F84*$L84,2)</f>
        <v>2.24</v>
      </c>
      <c r="N84" s="70" t="n">
        <f aca="false">$O$11</f>
        <v>0.2158185125</v>
      </c>
      <c r="O84" s="69" t="n">
        <f aca="false">ROUND($M84*(1+$N84),2)</f>
        <v>2.72</v>
      </c>
      <c r="P84" s="71" t="n">
        <f aca="false">$O84/$O$9</f>
        <v>7.53435910123849E-006</v>
      </c>
      <c r="Q84" s="35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</row>
    <row r="85" customFormat="false" ht="14.25" hidden="false" customHeight="true" outlineLevel="0" collapsed="false">
      <c r="A85" s="65" t="s">
        <v>135</v>
      </c>
      <c r="B85" s="66" t="s">
        <v>51</v>
      </c>
      <c r="C85" s="66" t="s">
        <v>136</v>
      </c>
      <c r="D85" s="67" t="s">
        <v>137</v>
      </c>
      <c r="E85" s="66" t="s">
        <v>62</v>
      </c>
      <c r="F85" s="68" t="n">
        <f aca="false">9*0.25*0.25</f>
        <v>0.5625</v>
      </c>
      <c r="G85" s="69" t="n">
        <f aca="false">ROUND(266.32*(1-$O$10),2)</f>
        <v>266.32</v>
      </c>
      <c r="H85" s="69" t="n">
        <f aca="false">ROUND(5.45*(1-$O$10),2)</f>
        <v>5.45</v>
      </c>
      <c r="I85" s="69" t="n">
        <f aca="false">ROUND(0*(1-$O$10),2)</f>
        <v>0</v>
      </c>
      <c r="J85" s="69" t="n">
        <f aca="false">ROUND(0*(1-$O$10),2)</f>
        <v>0</v>
      </c>
      <c r="K85" s="69" t="n">
        <f aca="false">ROUND(0*(1-$O$10),2)</f>
        <v>0</v>
      </c>
      <c r="L85" s="69" t="n">
        <f aca="false">$G85+$H85+$I85+$J85+$K85</f>
        <v>271.77</v>
      </c>
      <c r="M85" s="69" t="n">
        <f aca="false">ROUND($F85*$L85,2)</f>
        <v>152.87</v>
      </c>
      <c r="N85" s="70" t="n">
        <f aca="false">$O$11</f>
        <v>0.2158185125</v>
      </c>
      <c r="O85" s="69" t="n">
        <f aca="false">ROUND($M85*(1+$N85),2)</f>
        <v>185.86</v>
      </c>
      <c r="P85" s="71" t="n">
        <f aca="false">$O85/$O$9</f>
        <v>0.000514829405351539</v>
      </c>
      <c r="Q85" s="35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</row>
    <row r="86" customFormat="false" ht="14.25" hidden="false" customHeight="true" outlineLevel="0" collapsed="false">
      <c r="A86" s="65" t="s">
        <v>138</v>
      </c>
      <c r="B86" s="66" t="s">
        <v>51</v>
      </c>
      <c r="C86" s="66" t="s">
        <v>139</v>
      </c>
      <c r="D86" s="67" t="s">
        <v>140</v>
      </c>
      <c r="E86" s="66" t="s">
        <v>62</v>
      </c>
      <c r="F86" s="68" t="n">
        <f aca="false">12*0.25*0.25</f>
        <v>0.75</v>
      </c>
      <c r="G86" s="69" t="n">
        <f aca="false">ROUND(266.32*(1-$O$10),2)</f>
        <v>266.32</v>
      </c>
      <c r="H86" s="69" t="n">
        <f aca="false">ROUND(5.45*(1-$O$10),2)</f>
        <v>5.45</v>
      </c>
      <c r="I86" s="69" t="n">
        <f aca="false">ROUND(0*(1-$O$10),2)</f>
        <v>0</v>
      </c>
      <c r="J86" s="69" t="n">
        <f aca="false">ROUND(0*(1-$O$10),2)</f>
        <v>0</v>
      </c>
      <c r="K86" s="69" t="n">
        <f aca="false">ROUND(0*(1-$O$10),2)</f>
        <v>0</v>
      </c>
      <c r="L86" s="69" t="n">
        <f aca="false">$G86+$H86+$I86+$J86+$K86</f>
        <v>271.77</v>
      </c>
      <c r="M86" s="69" t="n">
        <f aca="false">ROUND($F86*$L86,2)</f>
        <v>203.83</v>
      </c>
      <c r="N86" s="70" t="n">
        <f aca="false">$O$11</f>
        <v>0.2158185125</v>
      </c>
      <c r="O86" s="69" t="n">
        <f aca="false">ROUND($M86*(1+$N86),2)</f>
        <v>247.82</v>
      </c>
      <c r="P86" s="71" t="n">
        <f aca="false">$O86/$O$9</f>
        <v>0.00068645767370181</v>
      </c>
      <c r="Q86" s="35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</row>
    <row r="87" customFormat="false" ht="14.25" hidden="false" customHeight="true" outlineLevel="0" collapsed="false">
      <c r="A87" s="65"/>
      <c r="B87" s="66"/>
      <c r="C87" s="66"/>
      <c r="D87" s="67"/>
      <c r="E87" s="66"/>
      <c r="F87" s="68"/>
      <c r="G87" s="69"/>
      <c r="H87" s="69"/>
      <c r="I87" s="69"/>
      <c r="J87" s="69"/>
      <c r="K87" s="69"/>
      <c r="L87" s="69"/>
      <c r="M87" s="69"/>
      <c r="N87" s="70"/>
      <c r="O87" s="69"/>
      <c r="P87" s="71"/>
      <c r="Q87" s="35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</row>
    <row r="88" customFormat="false" ht="14.25" hidden="false" customHeight="true" outlineLevel="0" collapsed="false">
      <c r="A88" s="80"/>
      <c r="B88" s="81"/>
      <c r="C88" s="81"/>
      <c r="D88" s="82" t="str">
        <f aca="false">CONCATENATE("SUBTOTAL ITEM: ", $D$72)</f>
        <v>SUBTOTAL ITEM: ESTACIONAMENTO </v>
      </c>
      <c r="E88" s="81"/>
      <c r="F88" s="83"/>
      <c r="G88" s="84"/>
      <c r="H88" s="84"/>
      <c r="I88" s="84"/>
      <c r="J88" s="84"/>
      <c r="K88" s="84"/>
      <c r="L88" s="84"/>
      <c r="M88" s="84" t="n">
        <f aca="false">$M72</f>
        <v>124333.19</v>
      </c>
      <c r="N88" s="85"/>
      <c r="O88" s="84" t="n">
        <f aca="false">$O72</f>
        <v>151166.58</v>
      </c>
      <c r="P88" s="86" t="n">
        <f aca="false">$P72</f>
        <v>0.418729153612535</v>
      </c>
      <c r="Q88" s="35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</row>
    <row r="89" customFormat="false" ht="14.25" hidden="false" customHeight="true" outlineLevel="0" collapsed="false">
      <c r="A89" s="65"/>
      <c r="B89" s="66"/>
      <c r="C89" s="66"/>
      <c r="D89" s="67"/>
      <c r="E89" s="66"/>
      <c r="F89" s="68"/>
      <c r="G89" s="69"/>
      <c r="H89" s="69"/>
      <c r="I89" s="69"/>
      <c r="J89" s="69"/>
      <c r="K89" s="69"/>
      <c r="L89" s="69"/>
      <c r="M89" s="69"/>
      <c r="N89" s="70"/>
      <c r="O89" s="69"/>
      <c r="P89" s="71"/>
      <c r="Q89" s="35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</row>
    <row r="90" customFormat="false" ht="14.25" hidden="false" customHeight="true" outlineLevel="0" collapsed="false">
      <c r="A90" s="80" t="s">
        <v>141</v>
      </c>
      <c r="B90" s="81"/>
      <c r="C90" s="81"/>
      <c r="D90" s="82" t="s">
        <v>142</v>
      </c>
      <c r="E90" s="81"/>
      <c r="F90" s="83"/>
      <c r="G90" s="84"/>
      <c r="H90" s="84"/>
      <c r="I90" s="84"/>
      <c r="J90" s="84"/>
      <c r="K90" s="84"/>
      <c r="L90" s="84" t="s">
        <v>49</v>
      </c>
      <c r="M90" s="84" t="n">
        <f aca="false">SUMIFS($M91:$M93, $B91:$B93, "&lt;&gt;")</f>
        <v>6497.99</v>
      </c>
      <c r="N90" s="85"/>
      <c r="O90" s="84" t="n">
        <f aca="false">SUMIFS($O91:$O93, $B91:$B93, "&lt;&gt;")</f>
        <v>7900.38</v>
      </c>
      <c r="P90" s="86" t="n">
        <f aca="false">$O90/$O$9</f>
        <v>0.0218839338074421</v>
      </c>
      <c r="Q90" s="35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</row>
    <row r="91" customFormat="false" ht="14.25" hidden="false" customHeight="true" outlineLevel="0" collapsed="false">
      <c r="A91" s="65"/>
      <c r="B91" s="66"/>
      <c r="C91" s="66"/>
      <c r="D91" s="67"/>
      <c r="E91" s="66"/>
      <c r="F91" s="68"/>
      <c r="G91" s="69"/>
      <c r="H91" s="69"/>
      <c r="I91" s="69"/>
      <c r="J91" s="69"/>
      <c r="K91" s="69"/>
      <c r="L91" s="69"/>
      <c r="M91" s="69"/>
      <c r="N91" s="70"/>
      <c r="O91" s="69"/>
      <c r="P91" s="71"/>
      <c r="Q91" s="35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</row>
    <row r="92" customFormat="false" ht="14.25" hidden="false" customHeight="true" outlineLevel="0" collapsed="false">
      <c r="A92" s="65" t="s">
        <v>143</v>
      </c>
      <c r="B92" s="66" t="s">
        <v>69</v>
      </c>
      <c r="C92" s="66" t="n">
        <v>98504</v>
      </c>
      <c r="D92" s="67" t="s">
        <v>144</v>
      </c>
      <c r="E92" s="66" t="s">
        <v>62</v>
      </c>
      <c r="F92" s="68" t="n">
        <v>590.19</v>
      </c>
      <c r="G92" s="69" t="n">
        <f aca="false">ROUND(7.58*(1-$O$10),2)</f>
        <v>7.58</v>
      </c>
      <c r="H92" s="69" t="n">
        <f aca="false">ROUND(3.43*(1-$O$10),2)</f>
        <v>3.43</v>
      </c>
      <c r="I92" s="69" t="n">
        <f aca="false">ROUND(0*(1-$O$10),2)</f>
        <v>0</v>
      </c>
      <c r="J92" s="69" t="n">
        <f aca="false">ROUND(0*(1-$O$10),2)</f>
        <v>0</v>
      </c>
      <c r="K92" s="69" t="n">
        <f aca="false">ROUND(0*(1-$O$10),2)</f>
        <v>0</v>
      </c>
      <c r="L92" s="69" t="n">
        <f aca="false">$G92+$H92+$I92+$J92+$K92</f>
        <v>11.01</v>
      </c>
      <c r="M92" s="69" t="n">
        <f aca="false">ROUND($F92*$L92,2)</f>
        <v>6497.99</v>
      </c>
      <c r="N92" s="70" t="n">
        <f aca="false">$O$11</f>
        <v>0.2158185125</v>
      </c>
      <c r="O92" s="69" t="n">
        <f aca="false">ROUND($M92*(1+$N92),2)</f>
        <v>7900.38</v>
      </c>
      <c r="P92" s="71" t="n">
        <f aca="false">$O92/$O$9</f>
        <v>0.0218839338074421</v>
      </c>
      <c r="Q92" s="35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</row>
    <row r="93" customFormat="false" ht="14.25" hidden="false" customHeight="true" outlineLevel="0" collapsed="false">
      <c r="A93" s="65"/>
      <c r="B93" s="66"/>
      <c r="C93" s="66"/>
      <c r="D93" s="67"/>
      <c r="E93" s="66"/>
      <c r="F93" s="68"/>
      <c r="G93" s="69"/>
      <c r="H93" s="69"/>
      <c r="I93" s="69"/>
      <c r="J93" s="69"/>
      <c r="K93" s="69"/>
      <c r="L93" s="69"/>
      <c r="M93" s="69"/>
      <c r="N93" s="70"/>
      <c r="O93" s="69"/>
      <c r="P93" s="71"/>
      <c r="Q93" s="35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</row>
    <row r="94" customFormat="false" ht="14.25" hidden="false" customHeight="true" outlineLevel="0" collapsed="false">
      <c r="A94" s="80"/>
      <c r="B94" s="81"/>
      <c r="C94" s="81"/>
      <c r="D94" s="82" t="str">
        <f aca="false">CONCATENATE("SUBTOTAL ITEM: ", $D$90)</f>
        <v>SUBTOTAL ITEM: PAISAGISMO</v>
      </c>
      <c r="E94" s="81"/>
      <c r="F94" s="83"/>
      <c r="G94" s="84"/>
      <c r="H94" s="84"/>
      <c r="I94" s="84"/>
      <c r="J94" s="84"/>
      <c r="K94" s="84"/>
      <c r="L94" s="84"/>
      <c r="M94" s="84" t="n">
        <f aca="false">$M90</f>
        <v>6497.99</v>
      </c>
      <c r="N94" s="85"/>
      <c r="O94" s="84" t="n">
        <f aca="false">$O90</f>
        <v>7900.38</v>
      </c>
      <c r="P94" s="86" t="n">
        <f aca="false">$P90</f>
        <v>0.0218839338074421</v>
      </c>
      <c r="Q94" s="35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</row>
    <row r="95" customFormat="false" ht="14.25" hidden="false" customHeight="true" outlineLevel="0" collapsed="false">
      <c r="A95" s="65"/>
      <c r="B95" s="66"/>
      <c r="C95" s="66"/>
      <c r="D95" s="67"/>
      <c r="E95" s="66"/>
      <c r="F95" s="68"/>
      <c r="G95" s="69"/>
      <c r="H95" s="69"/>
      <c r="I95" s="69"/>
      <c r="J95" s="69"/>
      <c r="K95" s="69"/>
      <c r="L95" s="69"/>
      <c r="M95" s="69"/>
      <c r="N95" s="70"/>
      <c r="O95" s="69"/>
      <c r="P95" s="71"/>
      <c r="Q95" s="35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</row>
    <row r="96" customFormat="false" ht="14.25" hidden="false" customHeight="true" outlineLevel="0" collapsed="false">
      <c r="A96" s="80" t="s">
        <v>145</v>
      </c>
      <c r="B96" s="81"/>
      <c r="C96" s="81"/>
      <c r="D96" s="82" t="s">
        <v>146</v>
      </c>
      <c r="E96" s="81"/>
      <c r="F96" s="83"/>
      <c r="G96" s="84"/>
      <c r="H96" s="84"/>
      <c r="I96" s="84"/>
      <c r="J96" s="84"/>
      <c r="K96" s="84"/>
      <c r="L96" s="84" t="s">
        <v>49</v>
      </c>
      <c r="M96" s="84" t="n">
        <f aca="false">SUMIFS($M97:$M105, $B97:$B105, "&lt;&gt;")</f>
        <v>6106.48</v>
      </c>
      <c r="N96" s="85"/>
      <c r="O96" s="84" t="n">
        <f aca="false">SUMIFS($O97:$O105, $B97:$B105, "&lt;&gt;")</f>
        <v>7424.38</v>
      </c>
      <c r="P96" s="86" t="n">
        <f aca="false">$O96/$O$9</f>
        <v>0.0205654209647254</v>
      </c>
      <c r="Q96" s="35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</row>
    <row r="97" customFormat="false" ht="14.25" hidden="false" customHeight="true" outlineLevel="0" collapsed="false">
      <c r="A97" s="65"/>
      <c r="B97" s="66"/>
      <c r="C97" s="66"/>
      <c r="D97" s="67"/>
      <c r="E97" s="66"/>
      <c r="F97" s="68"/>
      <c r="G97" s="69"/>
      <c r="H97" s="69"/>
      <c r="I97" s="69"/>
      <c r="J97" s="69"/>
      <c r="K97" s="69"/>
      <c r="L97" s="69"/>
      <c r="M97" s="69"/>
      <c r="N97" s="70"/>
      <c r="O97" s="69"/>
      <c r="P97" s="71"/>
      <c r="Q97" s="35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</row>
    <row r="98" customFormat="false" ht="14.25" hidden="false" customHeight="true" outlineLevel="0" collapsed="false">
      <c r="A98" s="65" t="s">
        <v>147</v>
      </c>
      <c r="B98" s="66" t="s">
        <v>69</v>
      </c>
      <c r="C98" s="66" t="n">
        <v>93358</v>
      </c>
      <c r="D98" s="67" t="s">
        <v>148</v>
      </c>
      <c r="E98" s="66" t="s">
        <v>85</v>
      </c>
      <c r="F98" s="68" t="n">
        <f aca="false">0.063*F101</f>
        <v>0.504</v>
      </c>
      <c r="G98" s="69" t="n">
        <f aca="false">ROUND(30.44*(1-$O$10),2)</f>
        <v>30.44</v>
      </c>
      <c r="H98" s="69" t="n">
        <f aca="false">ROUND(68.93*(1-$O$10),2)</f>
        <v>68.93</v>
      </c>
      <c r="I98" s="69" t="n">
        <f aca="false">ROUND(0*(1-$O$10),2)</f>
        <v>0</v>
      </c>
      <c r="J98" s="69" t="n">
        <f aca="false">ROUND(0*(1-$O$10),2)</f>
        <v>0</v>
      </c>
      <c r="K98" s="69" t="n">
        <f aca="false">ROUND(0*(1-$O$10),2)</f>
        <v>0</v>
      </c>
      <c r="L98" s="69" t="n">
        <f aca="false">$G98+$H98+$I98+$J98+$K98</f>
        <v>99.37</v>
      </c>
      <c r="M98" s="69" t="n">
        <f aca="false">ROUND($F98*$L98,2)</f>
        <v>50.08</v>
      </c>
      <c r="N98" s="70" t="n">
        <f aca="false">$O$11</f>
        <v>0.2158185125</v>
      </c>
      <c r="O98" s="69" t="n">
        <f aca="false">ROUND($M98*(1+$N98),2)</f>
        <v>60.89</v>
      </c>
      <c r="P98" s="71" t="n">
        <f aca="false">$O98/$O$9</f>
        <v>0.000168664384439122</v>
      </c>
      <c r="Q98" s="35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</row>
    <row r="99" customFormat="false" ht="14.25" hidden="false" customHeight="true" outlineLevel="0" collapsed="false">
      <c r="A99" s="65" t="s">
        <v>149</v>
      </c>
      <c r="B99" s="66" t="s">
        <v>69</v>
      </c>
      <c r="C99" s="66" t="n">
        <v>94970</v>
      </c>
      <c r="D99" s="67" t="s">
        <v>150</v>
      </c>
      <c r="E99" s="66" t="s">
        <v>85</v>
      </c>
      <c r="F99" s="68" t="n">
        <f aca="false">F98</f>
        <v>0.504</v>
      </c>
      <c r="G99" s="69" t="n">
        <f aca="false">ROUND(374.83*(1-$O$10),2)</f>
        <v>374.83</v>
      </c>
      <c r="H99" s="69" t="n">
        <f aca="false">ROUND(59.54*(1-$O$10),2)</f>
        <v>59.54</v>
      </c>
      <c r="I99" s="69" t="n">
        <f aca="false">ROUND(2.47*(1-$O$10),2)</f>
        <v>2.47</v>
      </c>
      <c r="J99" s="69" t="n">
        <f aca="false">ROUND(0*(1-$O$10),2)</f>
        <v>0</v>
      </c>
      <c r="K99" s="69" t="n">
        <f aca="false">ROUND(1.15*(1-$O$10),2)</f>
        <v>1.15</v>
      </c>
      <c r="L99" s="69" t="n">
        <f aca="false">$G99+$H99+$I99+$J99+$K99</f>
        <v>437.99</v>
      </c>
      <c r="M99" s="69" t="n">
        <f aca="false">ROUND($F99*$L99,2)</f>
        <v>220.75</v>
      </c>
      <c r="N99" s="70" t="n">
        <f aca="false">$O$11</f>
        <v>0.2158185125</v>
      </c>
      <c r="O99" s="69" t="n">
        <f aca="false">ROUND($M99*(1+$N99),2)</f>
        <v>268.39</v>
      </c>
      <c r="P99" s="71" t="n">
        <f aca="false">$O99/$O$9</f>
        <v>0.000743436264404926</v>
      </c>
      <c r="Q99" s="35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</row>
    <row r="100" customFormat="false" ht="14.25" hidden="false" customHeight="true" outlineLevel="0" collapsed="false">
      <c r="A100" s="65" t="s">
        <v>151</v>
      </c>
      <c r="B100" s="66" t="s">
        <v>69</v>
      </c>
      <c r="C100" s="66" t="n">
        <v>103670</v>
      </c>
      <c r="D100" s="67" t="s">
        <v>152</v>
      </c>
      <c r="E100" s="66" t="s">
        <v>85</v>
      </c>
      <c r="F100" s="68" t="n">
        <f aca="false">F99</f>
        <v>0.504</v>
      </c>
      <c r="G100" s="69" t="n">
        <f aca="false">ROUND(95*(1-$O$10),2)</f>
        <v>95</v>
      </c>
      <c r="H100" s="69" t="n">
        <f aca="false">ROUND(249.37*(1-$O$10),2)</f>
        <v>249.37</v>
      </c>
      <c r="I100" s="69" t="n">
        <f aca="false">ROUND(1.38*(1-$O$10),2)</f>
        <v>1.38</v>
      </c>
      <c r="J100" s="69" t="n">
        <f aca="false">ROUND(0*(1-$O$10),2)</f>
        <v>0</v>
      </c>
      <c r="K100" s="69" t="n">
        <f aca="false">ROUND(0.37*(1-$O$10),2)</f>
        <v>0.37</v>
      </c>
      <c r="L100" s="69" t="n">
        <f aca="false">$G100+$H100+$I100+$J100+$K100</f>
        <v>346.12</v>
      </c>
      <c r="M100" s="69" t="n">
        <f aca="false">ROUND($F100*$L100,2)</f>
        <v>174.44</v>
      </c>
      <c r="N100" s="70" t="n">
        <f aca="false">$O$11</f>
        <v>0.2158185125</v>
      </c>
      <c r="O100" s="69" t="n">
        <f aca="false">ROUND($M100*(1+$N100),2)</f>
        <v>212.09</v>
      </c>
      <c r="P100" s="71" t="n">
        <f aca="false">$O100/$O$9</f>
        <v>0.000587486110949144</v>
      </c>
      <c r="Q100" s="35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</row>
    <row r="101" customFormat="false" ht="14.25" hidden="false" customHeight="true" outlineLevel="0" collapsed="false">
      <c r="A101" s="65" t="s">
        <v>153</v>
      </c>
      <c r="B101" s="66" t="s">
        <v>51</v>
      </c>
      <c r="C101" s="66" t="s">
        <v>154</v>
      </c>
      <c r="D101" s="67" t="s">
        <v>155</v>
      </c>
      <c r="E101" s="66" t="s">
        <v>54</v>
      </c>
      <c r="F101" s="68" t="n">
        <v>8</v>
      </c>
      <c r="G101" s="69" t="n">
        <f aca="false">ROUND(237.86*(1-$O$10),2)</f>
        <v>237.86</v>
      </c>
      <c r="H101" s="69" t="n">
        <f aca="false">ROUND(8.71*(1-$O$10),2)</f>
        <v>8.71</v>
      </c>
      <c r="I101" s="69" t="n">
        <f aca="false">ROUND(0*(1-$O$10),2)</f>
        <v>0</v>
      </c>
      <c r="J101" s="69" t="n">
        <f aca="false">ROUND(0*(1-$O$10),2)</f>
        <v>0</v>
      </c>
      <c r="K101" s="69" t="n">
        <f aca="false">ROUND(0*(1-$O$10),2)</f>
        <v>0</v>
      </c>
      <c r="L101" s="69" t="n">
        <f aca="false">$G101+$H101+$I101+$J101+$K101</f>
        <v>246.57</v>
      </c>
      <c r="M101" s="69" t="n">
        <f aca="false">ROUND($F101*$L101,2)</f>
        <v>1972.56</v>
      </c>
      <c r="N101" s="70" t="n">
        <f aca="false">$O$11</f>
        <v>0.2158185125</v>
      </c>
      <c r="O101" s="69" t="n">
        <f aca="false">ROUND($M101*(1+$N101),2)</f>
        <v>2398.27</v>
      </c>
      <c r="P101" s="71" t="n">
        <f aca="false">$O101/$O$9</f>
        <v>0.0066431718388703</v>
      </c>
      <c r="Q101" s="35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</row>
    <row r="102" customFormat="false" ht="14.25" hidden="false" customHeight="true" outlineLevel="0" collapsed="false">
      <c r="A102" s="65" t="s">
        <v>156</v>
      </c>
      <c r="B102" s="66" t="s">
        <v>51</v>
      </c>
      <c r="C102" s="66" t="s">
        <v>157</v>
      </c>
      <c r="D102" s="67" t="s">
        <v>158</v>
      </c>
      <c r="E102" s="66" t="s">
        <v>54</v>
      </c>
      <c r="F102" s="68" t="n">
        <v>8</v>
      </c>
      <c r="G102" s="69" t="n">
        <f aca="false">ROUND(38.29*(1-$O$10),2)</f>
        <v>38.29</v>
      </c>
      <c r="H102" s="69" t="n">
        <f aca="false">ROUND(17.46*(1-$O$10),2)</f>
        <v>17.46</v>
      </c>
      <c r="I102" s="69" t="n">
        <f aca="false">ROUND(0*(1-$O$10),2)</f>
        <v>0</v>
      </c>
      <c r="J102" s="69" t="n">
        <f aca="false">ROUND(0*(1-$O$10),2)</f>
        <v>0</v>
      </c>
      <c r="K102" s="69" t="n">
        <f aca="false">ROUND(0*(1-$O$10),2)</f>
        <v>0</v>
      </c>
      <c r="L102" s="69" t="n">
        <f aca="false">$G102+$H102+$I102+$J102+$K102</f>
        <v>55.75</v>
      </c>
      <c r="M102" s="69" t="n">
        <f aca="false">ROUND($F102*$L102,2)</f>
        <v>446</v>
      </c>
      <c r="N102" s="70" t="n">
        <f aca="false">$O$11</f>
        <v>0.2158185125</v>
      </c>
      <c r="O102" s="69" t="n">
        <f aca="false">ROUND($M102*(1+$N102),2)</f>
        <v>542.26</v>
      </c>
      <c r="P102" s="71" t="n">
        <f aca="false">$O102/$O$9</f>
        <v>0.00150205204641088</v>
      </c>
      <c r="Q102" s="35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</row>
    <row r="103" customFormat="false" ht="14.25" hidden="false" customHeight="true" outlineLevel="0" collapsed="false">
      <c r="A103" s="65" t="s">
        <v>159</v>
      </c>
      <c r="B103" s="66" t="s">
        <v>51</v>
      </c>
      <c r="C103" s="66" t="s">
        <v>160</v>
      </c>
      <c r="D103" s="67" t="s">
        <v>161</v>
      </c>
      <c r="E103" s="66" t="s">
        <v>62</v>
      </c>
      <c r="F103" s="68" t="n">
        <f aca="false">0.45*8</f>
        <v>3.6</v>
      </c>
      <c r="G103" s="69" t="n">
        <f aca="false">ROUND(577.5*(1-$O$10),2)</f>
        <v>577.5</v>
      </c>
      <c r="H103" s="69" t="n">
        <f aca="false">ROUND(0*(1-$O$10),2)</f>
        <v>0</v>
      </c>
      <c r="I103" s="69" t="n">
        <f aca="false">ROUND(0*(1-$O$10),2)</f>
        <v>0</v>
      </c>
      <c r="J103" s="69" t="n">
        <f aca="false">ROUND(0*(1-$O$10),2)</f>
        <v>0</v>
      </c>
      <c r="K103" s="69" t="n">
        <f aca="false">ROUND(0*(1-$O$10),2)</f>
        <v>0</v>
      </c>
      <c r="L103" s="69" t="n">
        <f aca="false">$G103+$H103+$I103+$J103+$K103</f>
        <v>577.5</v>
      </c>
      <c r="M103" s="69" t="n">
        <f aca="false">ROUND($F103*$L103,2)</f>
        <v>2079</v>
      </c>
      <c r="N103" s="70" t="n">
        <f aca="false">$O$11</f>
        <v>0.2158185125</v>
      </c>
      <c r="O103" s="69" t="n">
        <f aca="false">ROUND($M103*(1+$N103),2)</f>
        <v>2527.69</v>
      </c>
      <c r="P103" s="71" t="n">
        <f aca="false">$O103/$O$9</f>
        <v>0.00700166329287115</v>
      </c>
      <c r="Q103" s="35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</row>
    <row r="104" customFormat="false" ht="14.25" hidden="false" customHeight="true" outlineLevel="0" collapsed="false">
      <c r="A104" s="65" t="s">
        <v>162</v>
      </c>
      <c r="B104" s="66" t="s">
        <v>51</v>
      </c>
      <c r="C104" s="66" t="s">
        <v>163</v>
      </c>
      <c r="D104" s="67" t="s">
        <v>164</v>
      </c>
      <c r="E104" s="66" t="s">
        <v>62</v>
      </c>
      <c r="F104" s="68" t="n">
        <v>37.61</v>
      </c>
      <c r="G104" s="69" t="n">
        <f aca="false">ROUND(12.93*(1-$O$10),2)</f>
        <v>12.93</v>
      </c>
      <c r="H104" s="69" t="n">
        <f aca="false">ROUND(18.01*(1-$O$10),2)</f>
        <v>18.01</v>
      </c>
      <c r="I104" s="69" t="n">
        <f aca="false">ROUND(0*(1-$O$10),2)</f>
        <v>0</v>
      </c>
      <c r="J104" s="69" t="n">
        <f aca="false">ROUND(0*(1-$O$10),2)</f>
        <v>0</v>
      </c>
      <c r="K104" s="69" t="n">
        <f aca="false">ROUND(0*(1-$O$10),2)</f>
        <v>0</v>
      </c>
      <c r="L104" s="69" t="n">
        <f aca="false">$G104+$H104+$I104+$J104+$K104</f>
        <v>30.94</v>
      </c>
      <c r="M104" s="69" t="n">
        <f aca="false">ROUND($F104*$L104,2)</f>
        <v>1163.65</v>
      </c>
      <c r="N104" s="70" t="n">
        <f aca="false">$O$11</f>
        <v>0.2158185125</v>
      </c>
      <c r="O104" s="69" t="n">
        <f aca="false">ROUND($M104*(1+$N104),2)</f>
        <v>1414.79</v>
      </c>
      <c r="P104" s="71" t="n">
        <f aca="false">$O104/$O$9</f>
        <v>0.00391894702677985</v>
      </c>
      <c r="Q104" s="35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</row>
    <row r="105" customFormat="false" ht="14.25" hidden="false" customHeight="true" outlineLevel="0" collapsed="false">
      <c r="A105" s="65"/>
      <c r="B105" s="66"/>
      <c r="C105" s="66"/>
      <c r="D105" s="67"/>
      <c r="E105" s="66"/>
      <c r="F105" s="68"/>
      <c r="G105" s="69"/>
      <c r="H105" s="69"/>
      <c r="I105" s="69"/>
      <c r="J105" s="69"/>
      <c r="K105" s="69"/>
      <c r="L105" s="69"/>
      <c r="M105" s="69"/>
      <c r="N105" s="70"/>
      <c r="O105" s="69"/>
      <c r="P105" s="71"/>
      <c r="Q105" s="35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</row>
    <row r="106" customFormat="false" ht="14.25" hidden="false" customHeight="true" outlineLevel="0" collapsed="false">
      <c r="A106" s="80"/>
      <c r="B106" s="81"/>
      <c r="C106" s="81"/>
      <c r="D106" s="82" t="str">
        <f aca="false">CONCATENATE("SUBTOTAL ITEM: ", $D$96)</f>
        <v>SUBTOTAL ITEM: SINALIZAÇÃO VIÁRIA</v>
      </c>
      <c r="E106" s="81"/>
      <c r="F106" s="83"/>
      <c r="G106" s="84"/>
      <c r="H106" s="84"/>
      <c r="I106" s="84"/>
      <c r="J106" s="84"/>
      <c r="K106" s="84"/>
      <c r="L106" s="84"/>
      <c r="M106" s="84" t="n">
        <f aca="false">$M96</f>
        <v>6106.48</v>
      </c>
      <c r="N106" s="85"/>
      <c r="O106" s="84" t="n">
        <f aca="false">$O96</f>
        <v>7424.38</v>
      </c>
      <c r="P106" s="86" t="n">
        <f aca="false">$P96</f>
        <v>0.0205654209647254</v>
      </c>
      <c r="Q106" s="35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</row>
    <row r="107" customFormat="false" ht="14.25" hidden="false" customHeight="true" outlineLevel="0" collapsed="false">
      <c r="A107" s="65"/>
      <c r="B107" s="66"/>
      <c r="C107" s="66"/>
      <c r="D107" s="67"/>
      <c r="E107" s="66"/>
      <c r="F107" s="68"/>
      <c r="G107" s="69"/>
      <c r="H107" s="69"/>
      <c r="I107" s="69"/>
      <c r="J107" s="69"/>
      <c r="K107" s="69"/>
      <c r="L107" s="69"/>
      <c r="M107" s="69"/>
      <c r="N107" s="70"/>
      <c r="O107" s="69"/>
      <c r="P107" s="71"/>
      <c r="Q107" s="35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</row>
    <row r="108" customFormat="false" ht="14.25" hidden="false" customHeight="true" outlineLevel="0" collapsed="false">
      <c r="A108" s="79"/>
      <c r="B108" s="73"/>
      <c r="C108" s="73"/>
      <c r="D108" s="74" t="str">
        <f aca="false">CONCATENATE("SUBTOTAL ITEM: ", $D$61)</f>
        <v>SUBTOTAL ITEM: PAVIMENTAÇÃO – BLOCO DE PROFESSORES</v>
      </c>
      <c r="E108" s="73"/>
      <c r="F108" s="75"/>
      <c r="G108" s="76"/>
      <c r="H108" s="76"/>
      <c r="I108" s="76"/>
      <c r="J108" s="76"/>
      <c r="K108" s="76"/>
      <c r="L108" s="76"/>
      <c r="M108" s="76" t="n">
        <f aca="false">$M61</f>
        <v>139321.38</v>
      </c>
      <c r="N108" s="77"/>
      <c r="O108" s="76" t="n">
        <f aca="false">$O61</f>
        <v>169389.5</v>
      </c>
      <c r="P108" s="78" t="n">
        <f aca="false">$P61</f>
        <v>0.469206368007072</v>
      </c>
      <c r="Q108" s="35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</row>
    <row r="109" customFormat="false" ht="14.25" hidden="false" customHeight="true" outlineLevel="0" collapsed="false">
      <c r="A109" s="65"/>
      <c r="B109" s="66"/>
      <c r="C109" s="66"/>
      <c r="D109" s="67"/>
      <c r="E109" s="66"/>
      <c r="F109" s="68"/>
      <c r="G109" s="69"/>
      <c r="H109" s="69"/>
      <c r="I109" s="69"/>
      <c r="J109" s="69"/>
      <c r="K109" s="69"/>
      <c r="L109" s="69"/>
      <c r="M109" s="69"/>
      <c r="N109" s="70"/>
      <c r="O109" s="69"/>
      <c r="P109" s="71"/>
      <c r="Q109" s="35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</row>
    <row r="110" customFormat="false" ht="14.25" hidden="false" customHeight="true" outlineLevel="0" collapsed="false">
      <c r="A110" s="65"/>
      <c r="B110" s="66"/>
      <c r="C110" s="66"/>
      <c r="D110" s="91" t="s">
        <v>165</v>
      </c>
      <c r="E110" s="66"/>
      <c r="F110" s="68"/>
      <c r="G110" s="69"/>
      <c r="H110" s="69"/>
      <c r="I110" s="69"/>
      <c r="J110" s="69"/>
      <c r="K110" s="69"/>
      <c r="L110" s="69"/>
      <c r="M110" s="69"/>
      <c r="N110" s="70"/>
      <c r="O110" s="69"/>
      <c r="P110" s="71"/>
      <c r="Q110" s="35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</row>
    <row r="111" customFormat="false" ht="14.25" hidden="false" customHeight="true" outlineLevel="0" collapsed="false">
      <c r="A111" s="65"/>
      <c r="B111" s="66"/>
      <c r="C111" s="66"/>
      <c r="D111" s="67"/>
      <c r="E111" s="66"/>
      <c r="F111" s="68"/>
      <c r="G111" s="69"/>
      <c r="H111" s="69"/>
      <c r="I111" s="69"/>
      <c r="J111" s="69"/>
      <c r="K111" s="69"/>
      <c r="L111" s="69"/>
      <c r="M111" s="69"/>
      <c r="N111" s="70"/>
      <c r="O111" s="69"/>
      <c r="P111" s="71"/>
      <c r="Q111" s="35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</row>
    <row r="112" customFormat="false" ht="14.25" hidden="false" customHeight="true" outlineLevel="0" collapsed="false">
      <c r="A112" s="72" t="s">
        <v>166</v>
      </c>
      <c r="B112" s="73"/>
      <c r="C112" s="73"/>
      <c r="D112" s="74" t="s">
        <v>167</v>
      </c>
      <c r="E112" s="73"/>
      <c r="F112" s="75"/>
      <c r="G112" s="76"/>
      <c r="H112" s="76"/>
      <c r="I112" s="76"/>
      <c r="J112" s="76"/>
      <c r="K112" s="76"/>
      <c r="L112" s="76" t="s">
        <v>49</v>
      </c>
      <c r="M112" s="76" t="n">
        <f aca="false">SUMIFS($M113:$M121, $B113:$B121, "&lt;&gt;")</f>
        <v>7586.93</v>
      </c>
      <c r="N112" s="77"/>
      <c r="O112" s="76" t="n">
        <f aca="false">SUMIFS($O113:$O121, $B113:$B121, "&lt;&gt;")</f>
        <v>9224.32</v>
      </c>
      <c r="P112" s="78" t="n">
        <f aca="false">$O112/$O$9</f>
        <v>0.0255512277002707</v>
      </c>
      <c r="Q112" s="35"/>
      <c r="R112" s="92"/>
      <c r="S112" s="92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</row>
    <row r="113" customFormat="false" ht="14.25" hidden="false" customHeight="true" outlineLevel="0" collapsed="false">
      <c r="A113" s="65"/>
      <c r="B113" s="66"/>
      <c r="C113" s="66"/>
      <c r="D113" s="67"/>
      <c r="E113" s="66"/>
      <c r="F113" s="68"/>
      <c r="G113" s="69"/>
      <c r="H113" s="69"/>
      <c r="I113" s="69"/>
      <c r="J113" s="69"/>
      <c r="K113" s="69"/>
      <c r="L113" s="69"/>
      <c r="M113" s="69"/>
      <c r="N113" s="70"/>
      <c r="O113" s="69"/>
      <c r="P113" s="71"/>
      <c r="Q113" s="35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</row>
    <row r="114" customFormat="false" ht="14.25" hidden="false" customHeight="true" outlineLevel="0" collapsed="false">
      <c r="A114" s="80" t="s">
        <v>168</v>
      </c>
      <c r="B114" s="81"/>
      <c r="C114" s="81"/>
      <c r="D114" s="82" t="s">
        <v>82</v>
      </c>
      <c r="E114" s="81"/>
      <c r="F114" s="83"/>
      <c r="G114" s="84"/>
      <c r="H114" s="84"/>
      <c r="I114" s="84"/>
      <c r="J114" s="84"/>
      <c r="K114" s="84"/>
      <c r="L114" s="84" t="s">
        <v>49</v>
      </c>
      <c r="M114" s="84" t="n">
        <f aca="false">SUMIFS($M115:$M119, $B115:$B119, "&lt;&gt;")</f>
        <v>7586.93</v>
      </c>
      <c r="N114" s="85"/>
      <c r="O114" s="84" t="n">
        <f aca="false">SUMIFS($O115:$O119, $B115:$B119, "&lt;&gt;")</f>
        <v>9224.32</v>
      </c>
      <c r="P114" s="86" t="n">
        <f aca="false">$O114/$O$9</f>
        <v>0.0255512277002707</v>
      </c>
      <c r="Q114" s="35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</row>
    <row r="115" customFormat="false" ht="14.25" hidden="false" customHeight="true" outlineLevel="0" collapsed="false">
      <c r="A115" s="65"/>
      <c r="B115" s="66"/>
      <c r="C115" s="66"/>
      <c r="D115" s="67"/>
      <c r="E115" s="66"/>
      <c r="F115" s="68"/>
      <c r="G115" s="69"/>
      <c r="H115" s="69"/>
      <c r="I115" s="69"/>
      <c r="J115" s="69"/>
      <c r="K115" s="69"/>
      <c r="L115" s="69"/>
      <c r="M115" s="69"/>
      <c r="N115" s="70"/>
      <c r="O115" s="69"/>
      <c r="P115" s="71"/>
      <c r="Q115" s="35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</row>
    <row r="116" customFormat="false" ht="14.25" hidden="false" customHeight="true" outlineLevel="0" collapsed="false">
      <c r="A116" s="65" t="s">
        <v>169</v>
      </c>
      <c r="B116" s="66" t="s">
        <v>69</v>
      </c>
      <c r="C116" s="66" t="n">
        <v>98525</v>
      </c>
      <c r="D116" s="67" t="s">
        <v>170</v>
      </c>
      <c r="E116" s="66" t="s">
        <v>62</v>
      </c>
      <c r="F116" s="68" t="n">
        <v>614.9</v>
      </c>
      <c r="G116" s="69" t="n">
        <f aca="false">ROUND(0.05*(1-$O$10),2)</f>
        <v>0.05</v>
      </c>
      <c r="H116" s="69" t="n">
        <f aca="false">ROUND(0.22*(1-$O$10),2)</f>
        <v>0.22</v>
      </c>
      <c r="I116" s="69" t="n">
        <f aca="false">ROUND(0.16*(1-$O$10),2)</f>
        <v>0.16</v>
      </c>
      <c r="J116" s="69" t="n">
        <f aca="false">ROUND(0*(1-$O$10),2)</f>
        <v>0</v>
      </c>
      <c r="K116" s="69" t="n">
        <f aca="false">ROUND(0*(1-$O$10),2)</f>
        <v>0</v>
      </c>
      <c r="L116" s="69" t="n">
        <f aca="false">$G116+$H116+$I116+$J116+$K116</f>
        <v>0.43</v>
      </c>
      <c r="M116" s="69" t="n">
        <f aca="false">ROUND($F116*$L116,2)</f>
        <v>264.41</v>
      </c>
      <c r="N116" s="70" t="n">
        <f aca="false">$O$11</f>
        <v>0.2158185125</v>
      </c>
      <c r="O116" s="69" t="n">
        <f aca="false">ROUND($M116*(1+$N116),2)</f>
        <v>321.47</v>
      </c>
      <c r="P116" s="71" t="n">
        <f aca="false">$O116/$O$9</f>
        <v>0.000890467066277624</v>
      </c>
      <c r="Q116" s="35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</row>
    <row r="117" customFormat="false" ht="14.25" hidden="false" customHeight="true" outlineLevel="0" collapsed="false">
      <c r="A117" s="65" t="s">
        <v>171</v>
      </c>
      <c r="B117" s="66" t="s">
        <v>69</v>
      </c>
      <c r="C117" s="66" t="n">
        <v>101116</v>
      </c>
      <c r="D117" s="67" t="s">
        <v>84</v>
      </c>
      <c r="E117" s="66" t="s">
        <v>85</v>
      </c>
      <c r="F117" s="68" t="n">
        <v>66</v>
      </c>
      <c r="G117" s="69" t="n">
        <f aca="false">ROUND(0.53*(1-$O$10),2)</f>
        <v>0.53</v>
      </c>
      <c r="H117" s="69" t="n">
        <f aca="false">ROUND(0.6*(1-$O$10),2)</f>
        <v>0.6</v>
      </c>
      <c r="I117" s="69" t="n">
        <f aca="false">ROUND(1.09*(1-$O$10),2)</f>
        <v>1.09</v>
      </c>
      <c r="J117" s="69" t="n">
        <f aca="false">ROUND(0*(1-$O$10),2)</f>
        <v>0</v>
      </c>
      <c r="K117" s="69" t="n">
        <f aca="false">ROUND(0*(1-$O$10),2)</f>
        <v>0</v>
      </c>
      <c r="L117" s="69" t="n">
        <f aca="false">$G117+$H117+$I117+$J117+$K117</f>
        <v>2.22</v>
      </c>
      <c r="M117" s="69" t="n">
        <f aca="false">ROUND($F117*$L117,2)</f>
        <v>146.52</v>
      </c>
      <c r="N117" s="70" t="n">
        <f aca="false">$O$11</f>
        <v>0.2158185125</v>
      </c>
      <c r="O117" s="69" t="n">
        <f aca="false">ROUND($M117*(1+$N117),2)</f>
        <v>178.14</v>
      </c>
      <c r="P117" s="71" t="n">
        <f aca="false">$O117/$O$9</f>
        <v>0.000493445121431847</v>
      </c>
      <c r="Q117" s="35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</row>
    <row r="118" customFormat="false" ht="14.25" hidden="false" customHeight="true" outlineLevel="0" collapsed="false">
      <c r="A118" s="65" t="s">
        <v>172</v>
      </c>
      <c r="B118" s="66" t="s">
        <v>69</v>
      </c>
      <c r="C118" s="66" t="n">
        <v>101230</v>
      </c>
      <c r="D118" s="67" t="s">
        <v>87</v>
      </c>
      <c r="E118" s="66" t="s">
        <v>85</v>
      </c>
      <c r="F118" s="68" t="n">
        <f aca="false">690</f>
        <v>690</v>
      </c>
      <c r="G118" s="69" t="n">
        <f aca="false">ROUND(4.11*(1-$O$10),2)</f>
        <v>4.11</v>
      </c>
      <c r="H118" s="69" t="n">
        <f aca="false">ROUND(1.46*(1-$O$10),2)</f>
        <v>1.46</v>
      </c>
      <c r="I118" s="69" t="n">
        <f aca="false">ROUND(4.83*(1-$O$10),2)</f>
        <v>4.83</v>
      </c>
      <c r="J118" s="69" t="n">
        <f aca="false">ROUND(0*(1-$O$10),2)</f>
        <v>0</v>
      </c>
      <c r="K118" s="69" t="n">
        <f aca="false">ROUND(0*(1-$O$10),2)</f>
        <v>0</v>
      </c>
      <c r="L118" s="69" t="n">
        <f aca="false">$G118+$H118+$I118+$J118+$K118</f>
        <v>10.4</v>
      </c>
      <c r="M118" s="69" t="n">
        <f aca="false">ROUND($F118*$L118,2)</f>
        <v>7176</v>
      </c>
      <c r="N118" s="70" t="n">
        <f aca="false">$O$11</f>
        <v>0.2158185125</v>
      </c>
      <c r="O118" s="69" t="n">
        <f aca="false">ROUND($M118*(1+$N118),2)</f>
        <v>8724.71</v>
      </c>
      <c r="P118" s="71" t="n">
        <f aca="false">$O118/$O$9</f>
        <v>0.0241673155125612</v>
      </c>
      <c r="Q118" s="35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</row>
    <row r="119" customFormat="false" ht="14.25" hidden="false" customHeight="true" outlineLevel="0" collapsed="false">
      <c r="A119" s="65"/>
      <c r="B119" s="66"/>
      <c r="C119" s="66"/>
      <c r="D119" s="67"/>
      <c r="E119" s="66"/>
      <c r="F119" s="68"/>
      <c r="G119" s="69"/>
      <c r="H119" s="69"/>
      <c r="I119" s="69"/>
      <c r="J119" s="69"/>
      <c r="K119" s="69"/>
      <c r="L119" s="69"/>
      <c r="M119" s="69"/>
      <c r="N119" s="70"/>
      <c r="O119" s="69"/>
      <c r="P119" s="71"/>
      <c r="Q119" s="35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</row>
    <row r="120" customFormat="false" ht="14.25" hidden="false" customHeight="true" outlineLevel="0" collapsed="false">
      <c r="A120" s="80"/>
      <c r="B120" s="81"/>
      <c r="C120" s="81"/>
      <c r="D120" s="82" t="str">
        <f aca="false">CONCATENATE("SUBTOTAL ITEM: ", $D$114)</f>
        <v>SUBTOTAL ITEM: TERRAPLENAGEM</v>
      </c>
      <c r="E120" s="81"/>
      <c r="F120" s="83"/>
      <c r="G120" s="84"/>
      <c r="H120" s="84"/>
      <c r="I120" s="84"/>
      <c r="J120" s="84"/>
      <c r="K120" s="84"/>
      <c r="L120" s="84"/>
      <c r="M120" s="84" t="n">
        <f aca="false">$M114</f>
        <v>7586.93</v>
      </c>
      <c r="N120" s="85"/>
      <c r="O120" s="84" t="n">
        <f aca="false">$O114</f>
        <v>9224.32</v>
      </c>
      <c r="P120" s="86" t="n">
        <f aca="false">$P114</f>
        <v>0.0255512277002707</v>
      </c>
      <c r="Q120" s="35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</row>
    <row r="121" customFormat="false" ht="14.25" hidden="false" customHeight="true" outlineLevel="0" collapsed="false">
      <c r="A121" s="65"/>
      <c r="B121" s="66"/>
      <c r="C121" s="66"/>
      <c r="D121" s="67"/>
      <c r="E121" s="66"/>
      <c r="F121" s="68"/>
      <c r="G121" s="69"/>
      <c r="H121" s="69"/>
      <c r="I121" s="69"/>
      <c r="J121" s="69"/>
      <c r="K121" s="69"/>
      <c r="L121" s="69"/>
      <c r="M121" s="69"/>
      <c r="N121" s="70"/>
      <c r="O121" s="69"/>
      <c r="P121" s="71"/>
      <c r="Q121" s="35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</row>
    <row r="122" customFormat="false" ht="14.25" hidden="false" customHeight="true" outlineLevel="0" collapsed="false">
      <c r="A122" s="79"/>
      <c r="B122" s="73"/>
      <c r="C122" s="73"/>
      <c r="D122" s="74" t="str">
        <f aca="false">CONCATENATE("SUBTOTAL ITEM: ", $D$112)</f>
        <v>SUBTOTAL ITEM: MOVIMENTO DE TERRA – LABORATÓRIOS</v>
      </c>
      <c r="E122" s="73"/>
      <c r="F122" s="75"/>
      <c r="G122" s="76"/>
      <c r="H122" s="76"/>
      <c r="I122" s="76"/>
      <c r="J122" s="76"/>
      <c r="K122" s="76"/>
      <c r="L122" s="76"/>
      <c r="M122" s="76" t="n">
        <f aca="false">$M112</f>
        <v>7586.93</v>
      </c>
      <c r="N122" s="77"/>
      <c r="O122" s="76" t="n">
        <f aca="false">$O112</f>
        <v>9224.32</v>
      </c>
      <c r="P122" s="78" t="n">
        <f aca="false">$P112</f>
        <v>0.0255512277002707</v>
      </c>
      <c r="Q122" s="35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</row>
    <row r="123" customFormat="false" ht="14.25" hidden="false" customHeight="true" outlineLevel="0" collapsed="false">
      <c r="A123" s="65"/>
      <c r="B123" s="66"/>
      <c r="C123" s="66"/>
      <c r="D123" s="67"/>
      <c r="E123" s="66"/>
      <c r="F123" s="68"/>
      <c r="G123" s="69"/>
      <c r="H123" s="69"/>
      <c r="I123" s="69"/>
      <c r="J123" s="69"/>
      <c r="K123" s="69"/>
      <c r="L123" s="69"/>
      <c r="M123" s="69"/>
      <c r="N123" s="70"/>
      <c r="O123" s="69"/>
      <c r="P123" s="71"/>
      <c r="Q123" s="35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</row>
    <row r="124" customFormat="false" ht="14.25" hidden="false" customHeight="true" outlineLevel="0" collapsed="false">
      <c r="A124" s="72" t="s">
        <v>173</v>
      </c>
      <c r="B124" s="73"/>
      <c r="C124" s="73"/>
      <c r="D124" s="74" t="s">
        <v>174</v>
      </c>
      <c r="E124" s="73"/>
      <c r="F124" s="75"/>
      <c r="G124" s="76"/>
      <c r="H124" s="76"/>
      <c r="I124" s="76"/>
      <c r="J124" s="76"/>
      <c r="K124" s="76"/>
      <c r="L124" s="76" t="s">
        <v>49</v>
      </c>
      <c r="M124" s="76" t="n">
        <f aca="false">SUMIFS($M125:$M164, $B125:$B164, "&lt;&gt;")</f>
        <v>80107.41</v>
      </c>
      <c r="N124" s="77"/>
      <c r="O124" s="76" t="n">
        <f aca="false">SUMIFS($O125:$O164, $B125:$B164, "&lt;&gt;")</f>
        <v>97396.08</v>
      </c>
      <c r="P124" s="78" t="n">
        <f aca="false">$O124/$O$9</f>
        <v>0.269785677122409</v>
      </c>
      <c r="Q124" s="35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</row>
    <row r="125" customFormat="false" ht="14.25" hidden="false" customHeight="true" outlineLevel="0" collapsed="false">
      <c r="A125" s="65"/>
      <c r="B125" s="66"/>
      <c r="C125" s="66"/>
      <c r="D125" s="67"/>
      <c r="E125" s="66"/>
      <c r="F125" s="68"/>
      <c r="G125" s="69"/>
      <c r="H125" s="69"/>
      <c r="I125" s="69"/>
      <c r="J125" s="69"/>
      <c r="K125" s="69"/>
      <c r="L125" s="69"/>
      <c r="M125" s="69"/>
      <c r="N125" s="70"/>
      <c r="O125" s="69"/>
      <c r="P125" s="71"/>
      <c r="Q125" s="35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</row>
    <row r="126" customFormat="false" ht="14.25" hidden="false" customHeight="true" outlineLevel="0" collapsed="false">
      <c r="A126" s="80" t="s">
        <v>175</v>
      </c>
      <c r="B126" s="81"/>
      <c r="C126" s="81"/>
      <c r="D126" s="82" t="s">
        <v>108</v>
      </c>
      <c r="E126" s="81"/>
      <c r="F126" s="83"/>
      <c r="G126" s="84"/>
      <c r="H126" s="84"/>
      <c r="I126" s="84"/>
      <c r="J126" s="84"/>
      <c r="K126" s="84"/>
      <c r="L126" s="84" t="s">
        <v>49</v>
      </c>
      <c r="M126" s="84" t="n">
        <f aca="false">SUMIFS($M127:$M144, $B127:$B144, "&lt;&gt;")</f>
        <v>68573.02</v>
      </c>
      <c r="N126" s="85"/>
      <c r="O126" s="84" t="n">
        <f aca="false">SUMIFS($O127:$O144, $B127:$B144, "&lt;&gt;")</f>
        <v>83372.34</v>
      </c>
      <c r="P126" s="86" t="n">
        <f aca="false">$O126/$O$9</f>
        <v>0.230940128187702</v>
      </c>
      <c r="Q126" s="35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</row>
    <row r="127" customFormat="false" ht="14.25" hidden="false" customHeight="true" outlineLevel="0" collapsed="false">
      <c r="A127" s="65"/>
      <c r="B127" s="66"/>
      <c r="C127" s="66"/>
      <c r="D127" s="67"/>
      <c r="E127" s="66"/>
      <c r="F127" s="68"/>
      <c r="G127" s="69"/>
      <c r="H127" s="69"/>
      <c r="I127" s="69"/>
      <c r="J127" s="69"/>
      <c r="K127" s="69"/>
      <c r="L127" s="69"/>
      <c r="M127" s="69"/>
      <c r="N127" s="70"/>
      <c r="O127" s="69"/>
      <c r="P127" s="71"/>
      <c r="Q127" s="35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</row>
    <row r="128" customFormat="false" ht="14.25" hidden="false" customHeight="true" outlineLevel="0" collapsed="false">
      <c r="A128" s="65" t="s">
        <v>176</v>
      </c>
      <c r="B128" s="66" t="s">
        <v>69</v>
      </c>
      <c r="C128" s="66" t="n">
        <v>97635</v>
      </c>
      <c r="D128" s="67" t="s">
        <v>177</v>
      </c>
      <c r="E128" s="66" t="s">
        <v>62</v>
      </c>
      <c r="F128" s="68" t="n">
        <v>38.78</v>
      </c>
      <c r="G128" s="69" t="n">
        <f aca="false">ROUND(4.78*(1-$O$10),2)</f>
        <v>4.78</v>
      </c>
      <c r="H128" s="69" t="n">
        <f aca="false">ROUND(12.32*(1-$O$10),2)</f>
        <v>12.32</v>
      </c>
      <c r="I128" s="69" t="n">
        <f aca="false">ROUND(0*(1-$O$10),2)</f>
        <v>0</v>
      </c>
      <c r="J128" s="69" t="n">
        <f aca="false">ROUND(0*(1-$O$10),2)</f>
        <v>0</v>
      </c>
      <c r="K128" s="69" t="n">
        <f aca="false">ROUND(0*(1-$O$10),2)</f>
        <v>0</v>
      </c>
      <c r="L128" s="69" t="n">
        <f aca="false">$G128+$H128+$I128+$J128+$K128</f>
        <v>17.1</v>
      </c>
      <c r="M128" s="69" t="n">
        <f aca="false">ROUND($F128*$L128,2)</f>
        <v>663.14</v>
      </c>
      <c r="N128" s="70" t="n">
        <f aca="false">$O$11</f>
        <v>0.2158185125</v>
      </c>
      <c r="O128" s="69" t="n">
        <f aca="false">ROUND($M128*(1+$N128),2)</f>
        <v>806.26</v>
      </c>
      <c r="P128" s="71" t="n">
        <f aca="false">$O128/$O$9</f>
        <v>0.0022333280768252</v>
      </c>
      <c r="Q128" s="35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</row>
    <row r="129" customFormat="false" ht="14.25" hidden="false" customHeight="true" outlineLevel="0" collapsed="false">
      <c r="A129" s="65" t="s">
        <v>178</v>
      </c>
      <c r="B129" s="66" t="s">
        <v>69</v>
      </c>
      <c r="C129" s="66" t="n">
        <v>100576</v>
      </c>
      <c r="D129" s="67" t="s">
        <v>110</v>
      </c>
      <c r="E129" s="66" t="s">
        <v>62</v>
      </c>
      <c r="F129" s="68" t="n">
        <v>443.7</v>
      </c>
      <c r="G129" s="69" t="n">
        <f aca="false">ROUND(0.41*(1-$O$10),2)</f>
        <v>0.41</v>
      </c>
      <c r="H129" s="69" t="n">
        <f aca="false">ROUND(0.9*(1-$O$10),2)</f>
        <v>0.9</v>
      </c>
      <c r="I129" s="69" t="n">
        <f aca="false">ROUND(1.32*(1-$O$10),2)</f>
        <v>1.32</v>
      </c>
      <c r="J129" s="69" t="n">
        <f aca="false">ROUND(0*(1-$O$10),2)</f>
        <v>0</v>
      </c>
      <c r="K129" s="69" t="n">
        <f aca="false">ROUND(0*(1-$O$10),2)</f>
        <v>0</v>
      </c>
      <c r="L129" s="69" t="n">
        <f aca="false">$G129+$H129+$I129+$J129+$K129</f>
        <v>2.63</v>
      </c>
      <c r="M129" s="69" t="n">
        <f aca="false">ROUND($F129*$L129,2)</f>
        <v>1166.93</v>
      </c>
      <c r="N129" s="70" t="n">
        <f aca="false">$O$11</f>
        <v>0.2158185125</v>
      </c>
      <c r="O129" s="69" t="n">
        <f aca="false">ROUND($M129*(1+$N129),2)</f>
        <v>1418.78</v>
      </c>
      <c r="P129" s="71" t="n">
        <f aca="false">$O129/$O$9</f>
        <v>0.00392999926678498</v>
      </c>
      <c r="Q129" s="35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</row>
    <row r="130" customFormat="false" ht="14.25" hidden="false" customHeight="true" outlineLevel="0" collapsed="false">
      <c r="A130" s="65" t="s">
        <v>179</v>
      </c>
      <c r="B130" s="66" t="s">
        <v>69</v>
      </c>
      <c r="C130" s="66" t="n">
        <v>96400</v>
      </c>
      <c r="D130" s="67" t="s">
        <v>112</v>
      </c>
      <c r="E130" s="66" t="s">
        <v>85</v>
      </c>
      <c r="F130" s="68" t="n">
        <f aca="false">F129*0.15</f>
        <v>66.555</v>
      </c>
      <c r="G130" s="69" t="n">
        <f aca="false">ROUND(90.46*(1-$O$10),2)</f>
        <v>90.46</v>
      </c>
      <c r="H130" s="69" t="n">
        <f aca="false">ROUND(6.12*(1-$O$10),2)</f>
        <v>6.12</v>
      </c>
      <c r="I130" s="69" t="n">
        <f aca="false">ROUND(12.45*(1-$O$10),2)</f>
        <v>12.45</v>
      </c>
      <c r="J130" s="69" t="n">
        <f aca="false">ROUND(0*(1-$O$10),2)</f>
        <v>0</v>
      </c>
      <c r="K130" s="69" t="n">
        <f aca="false">ROUND(0*(1-$O$10),2)</f>
        <v>0</v>
      </c>
      <c r="L130" s="69" t="n">
        <f aca="false">$G130+$H130+$I130+$J130+$K130</f>
        <v>109.03</v>
      </c>
      <c r="M130" s="69" t="n">
        <f aca="false">ROUND($F130*$L130,2)</f>
        <v>7256.49</v>
      </c>
      <c r="N130" s="70" t="n">
        <f aca="false">$O$11</f>
        <v>0.2158185125</v>
      </c>
      <c r="O130" s="69" t="n">
        <f aca="false">ROUND($M130*(1+$N130),2)</f>
        <v>8822.57</v>
      </c>
      <c r="P130" s="71" t="n">
        <f aca="false">$O130/$O$9</f>
        <v>0.024438386241108</v>
      </c>
      <c r="Q130" s="35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</row>
    <row r="131" customFormat="false" ht="14.25" hidden="false" customHeight="true" outlineLevel="0" collapsed="false">
      <c r="A131" s="65" t="s">
        <v>180</v>
      </c>
      <c r="B131" s="66" t="s">
        <v>69</v>
      </c>
      <c r="C131" s="66" t="n">
        <v>96396</v>
      </c>
      <c r="D131" s="67" t="s">
        <v>114</v>
      </c>
      <c r="E131" s="66" t="s">
        <v>85</v>
      </c>
      <c r="F131" s="68" t="n">
        <f aca="false">F129*0.1</f>
        <v>44.37</v>
      </c>
      <c r="G131" s="69" t="n">
        <f aca="false">ROUND(104.33*(1-$O$10),2)</f>
        <v>104.33</v>
      </c>
      <c r="H131" s="69" t="n">
        <f aca="false">ROUND(5.08*(1-$O$10),2)</f>
        <v>5.08</v>
      </c>
      <c r="I131" s="69" t="n">
        <f aca="false">ROUND(10.1*(1-$O$10),2)</f>
        <v>10.1</v>
      </c>
      <c r="J131" s="69" t="n">
        <f aca="false">ROUND(0*(1-$O$10),2)</f>
        <v>0</v>
      </c>
      <c r="K131" s="69" t="n">
        <f aca="false">ROUND(0.28*(1-$O$10),2)</f>
        <v>0.28</v>
      </c>
      <c r="L131" s="69" t="n">
        <f aca="false">$G131+$H131+$I131+$J131+$K131</f>
        <v>119.79</v>
      </c>
      <c r="M131" s="69" t="n">
        <f aca="false">ROUND($F131*$L131,2)</f>
        <v>5315.08</v>
      </c>
      <c r="N131" s="70" t="n">
        <f aca="false">$O$11</f>
        <v>0.2158185125</v>
      </c>
      <c r="O131" s="69" t="n">
        <f aca="false">ROUND($M131*(1+$N131),2)</f>
        <v>6462.17</v>
      </c>
      <c r="P131" s="71" t="n">
        <f aca="false">$O131/$O$9</f>
        <v>0.0179001137328126</v>
      </c>
      <c r="Q131" s="35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</row>
    <row r="132" customFormat="false" ht="14.25" hidden="false" customHeight="true" outlineLevel="0" collapsed="false">
      <c r="A132" s="65" t="s">
        <v>181</v>
      </c>
      <c r="B132" s="66" t="s">
        <v>69</v>
      </c>
      <c r="C132" s="66" t="n">
        <v>94273</v>
      </c>
      <c r="D132" s="67" t="s">
        <v>116</v>
      </c>
      <c r="E132" s="66" t="s">
        <v>106</v>
      </c>
      <c r="F132" s="68" t="n">
        <v>91.39</v>
      </c>
      <c r="G132" s="69" t="n">
        <f aca="false">ROUND(33.11*(1-$O$10),2)</f>
        <v>33.11</v>
      </c>
      <c r="H132" s="69" t="n">
        <f aca="false">ROUND(16.89*(1-$O$10),2)</f>
        <v>16.89</v>
      </c>
      <c r="I132" s="69" t="n">
        <f aca="false">ROUND(0*(1-$O$10),2)</f>
        <v>0</v>
      </c>
      <c r="J132" s="69" t="n">
        <f aca="false">ROUND(0*(1-$O$10),2)</f>
        <v>0</v>
      </c>
      <c r="K132" s="69" t="n">
        <f aca="false">ROUND(0*(1-$O$10),2)</f>
        <v>0</v>
      </c>
      <c r="L132" s="69" t="n">
        <f aca="false">$G132+$H132+$I132+$J132+$K132</f>
        <v>50</v>
      </c>
      <c r="M132" s="69" t="n">
        <f aca="false">ROUND($F132*$L132,2)</f>
        <v>4569.5</v>
      </c>
      <c r="N132" s="70" t="n">
        <f aca="false">$O$11</f>
        <v>0.2158185125</v>
      </c>
      <c r="O132" s="69" t="n">
        <f aca="false">ROUND($M132*(1+$N132),2)</f>
        <v>5555.68</v>
      </c>
      <c r="P132" s="71" t="n">
        <f aca="false">$O132/$O$9</f>
        <v>0.0153891500630767</v>
      </c>
      <c r="Q132" s="35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</row>
    <row r="133" customFormat="false" ht="14.25" hidden="false" customHeight="true" outlineLevel="0" collapsed="false">
      <c r="A133" s="65" t="s">
        <v>182</v>
      </c>
      <c r="B133" s="66" t="s">
        <v>51</v>
      </c>
      <c r="C133" s="66" t="s">
        <v>118</v>
      </c>
      <c r="D133" s="67" t="s">
        <v>119</v>
      </c>
      <c r="E133" s="66" t="s">
        <v>62</v>
      </c>
      <c r="F133" s="68" t="n">
        <v>447.7</v>
      </c>
      <c r="G133" s="69" t="n">
        <f aca="false">ROUND(82.61*(1-$O$10),2)</f>
        <v>82.61</v>
      </c>
      <c r="H133" s="69" t="n">
        <f aca="false">ROUND(10.04*(1-$O$10),2)</f>
        <v>10.04</v>
      </c>
      <c r="I133" s="69" t="n">
        <f aca="false">ROUND(0.21*(1-$O$10),2)</f>
        <v>0.21</v>
      </c>
      <c r="J133" s="69" t="n">
        <f aca="false">ROUND(0*(1-$O$10),2)</f>
        <v>0</v>
      </c>
      <c r="K133" s="69" t="n">
        <f aca="false">ROUND(0*(1-$O$10),2)</f>
        <v>0</v>
      </c>
      <c r="L133" s="69" t="n">
        <f aca="false">$G133+$H133+$I133+$J133+$K133</f>
        <v>92.86</v>
      </c>
      <c r="M133" s="69" t="n">
        <f aca="false">ROUND($F133*$L133,2)</f>
        <v>41573.42</v>
      </c>
      <c r="N133" s="70" t="n">
        <f aca="false">$O$11</f>
        <v>0.2158185125</v>
      </c>
      <c r="O133" s="69" t="n">
        <f aca="false">ROUND($M133*(1+$N133),2)</f>
        <v>50545.73</v>
      </c>
      <c r="P133" s="71" t="n">
        <f aca="false">$O133/$O$9</f>
        <v>0.140010912078766</v>
      </c>
      <c r="Q133" s="35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</row>
    <row r="134" customFormat="false" ht="14.25" hidden="false" customHeight="true" outlineLevel="0" collapsed="false">
      <c r="A134" s="65" t="s">
        <v>183</v>
      </c>
      <c r="B134" s="66" t="s">
        <v>69</v>
      </c>
      <c r="C134" s="66" t="n">
        <v>97086</v>
      </c>
      <c r="D134" s="67" t="s">
        <v>121</v>
      </c>
      <c r="E134" s="66" t="s">
        <v>62</v>
      </c>
      <c r="F134" s="68" t="n">
        <v>1.66</v>
      </c>
      <c r="G134" s="69" t="n">
        <f aca="false">ROUND(66.35*(1-$O$10),2)</f>
        <v>66.35</v>
      </c>
      <c r="H134" s="69" t="n">
        <f aca="false">ROUND(84.72*(1-$O$10),2)</f>
        <v>84.72</v>
      </c>
      <c r="I134" s="69" t="n">
        <f aca="false">ROUND(0*(1-$O$10),2)</f>
        <v>0</v>
      </c>
      <c r="J134" s="69" t="n">
        <f aca="false">ROUND(0*(1-$O$10),2)</f>
        <v>0</v>
      </c>
      <c r="K134" s="69" t="n">
        <f aca="false">ROUND(0*(1-$O$10),2)</f>
        <v>0</v>
      </c>
      <c r="L134" s="69" t="n">
        <f aca="false">$G134+$H134+$I134+$J134+$K134</f>
        <v>151.07</v>
      </c>
      <c r="M134" s="69" t="n">
        <f aca="false">ROUND($F134*$L134,2)</f>
        <v>250.78</v>
      </c>
      <c r="N134" s="70" t="n">
        <f aca="false">$O$11</f>
        <v>0.2158185125</v>
      </c>
      <c r="O134" s="69" t="n">
        <f aca="false">ROUND($M134*(1+$N134),2)</f>
        <v>304.9</v>
      </c>
      <c r="P134" s="71" t="n">
        <f aca="false">$O134/$O$9</f>
        <v>0.00084456841542927</v>
      </c>
      <c r="Q134" s="35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</row>
    <row r="135" customFormat="false" ht="14.25" hidden="false" customHeight="true" outlineLevel="0" collapsed="false">
      <c r="A135" s="65" t="s">
        <v>184</v>
      </c>
      <c r="B135" s="66" t="s">
        <v>51</v>
      </c>
      <c r="C135" s="66" t="s">
        <v>123</v>
      </c>
      <c r="D135" s="67" t="s">
        <v>124</v>
      </c>
      <c r="E135" s="66" t="s">
        <v>62</v>
      </c>
      <c r="F135" s="68" t="n">
        <v>35.35</v>
      </c>
      <c r="G135" s="69" t="n">
        <f aca="false">ROUND(3.17*(1-$O$10),2)</f>
        <v>3.17</v>
      </c>
      <c r="H135" s="69" t="n">
        <f aca="false">ROUND(4.94*(1-$O$10),2)</f>
        <v>4.94</v>
      </c>
      <c r="I135" s="69" t="n">
        <f aca="false">ROUND(0*(1-$O$10),2)</f>
        <v>0</v>
      </c>
      <c r="J135" s="69" t="n">
        <f aca="false">ROUND(0*(1-$O$10),2)</f>
        <v>0</v>
      </c>
      <c r="K135" s="69" t="n">
        <f aca="false">ROUND(0*(1-$O$10),2)</f>
        <v>0</v>
      </c>
      <c r="L135" s="69" t="n">
        <f aca="false">$G135+$H135+$I135+$J135+$K135</f>
        <v>8.11</v>
      </c>
      <c r="M135" s="69" t="n">
        <f aca="false">ROUND($F135*$L135,2)</f>
        <v>286.69</v>
      </c>
      <c r="N135" s="70" t="n">
        <f aca="false">$O$11</f>
        <v>0.2158185125</v>
      </c>
      <c r="O135" s="69" t="n">
        <f aca="false">ROUND($M135*(1+$N135),2)</f>
        <v>348.56</v>
      </c>
      <c r="P135" s="71" t="n">
        <f aca="false">$O135/$O$9</f>
        <v>0.000965505958944003</v>
      </c>
      <c r="Q135" s="35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</row>
    <row r="136" customFormat="false" ht="14.25" hidden="false" customHeight="true" outlineLevel="0" collapsed="false">
      <c r="A136" s="65" t="s">
        <v>185</v>
      </c>
      <c r="B136" s="66" t="s">
        <v>69</v>
      </c>
      <c r="C136" s="66" t="n">
        <v>97090</v>
      </c>
      <c r="D136" s="67" t="s">
        <v>126</v>
      </c>
      <c r="E136" s="66" t="s">
        <v>127</v>
      </c>
      <c r="F136" s="68" t="n">
        <f aca="false">2.2*F135</f>
        <v>77.77</v>
      </c>
      <c r="G136" s="69" t="n">
        <f aca="false">ROUND(13.56*(1-$O$10),2)</f>
        <v>13.56</v>
      </c>
      <c r="H136" s="69" t="n">
        <f aca="false">ROUND(0.92*(1-$O$10),2)</f>
        <v>0.92</v>
      </c>
      <c r="I136" s="69" t="n">
        <f aca="false">ROUND(0*(1-$O$10),2)</f>
        <v>0</v>
      </c>
      <c r="J136" s="69" t="n">
        <f aca="false">ROUND(0*(1-$O$10),2)</f>
        <v>0</v>
      </c>
      <c r="K136" s="69" t="n">
        <f aca="false">ROUND(0*(1-$O$10),2)</f>
        <v>0</v>
      </c>
      <c r="L136" s="69" t="n">
        <f aca="false">$G136+$H136+$I136+$J136+$K136</f>
        <v>14.48</v>
      </c>
      <c r="M136" s="69" t="n">
        <f aca="false">ROUND($F136*$L136,2)</f>
        <v>1126.11</v>
      </c>
      <c r="N136" s="70" t="n">
        <f aca="false">$O$11</f>
        <v>0.2158185125</v>
      </c>
      <c r="O136" s="69" t="n">
        <f aca="false">ROUND($M136*(1+$N136),2)</f>
        <v>1369.15</v>
      </c>
      <c r="P136" s="71" t="n">
        <f aca="false">$O136/$O$9</f>
        <v>0.00379252491303701</v>
      </c>
      <c r="Q136" s="35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</row>
    <row r="137" customFormat="false" ht="14.25" hidden="false" customHeight="true" outlineLevel="0" collapsed="false">
      <c r="A137" s="65" t="s">
        <v>186</v>
      </c>
      <c r="B137" s="66" t="s">
        <v>51</v>
      </c>
      <c r="C137" s="66" t="s">
        <v>129</v>
      </c>
      <c r="D137" s="67" t="s">
        <v>130</v>
      </c>
      <c r="E137" s="66" t="s">
        <v>62</v>
      </c>
      <c r="F137" s="68" t="n">
        <v>35.35</v>
      </c>
      <c r="G137" s="69" t="n">
        <f aca="false">ROUND(62.45*(1-$O$10),2)</f>
        <v>62.45</v>
      </c>
      <c r="H137" s="69" t="n">
        <f aca="false">ROUND(25.79*(1-$O$10),2)</f>
        <v>25.79</v>
      </c>
      <c r="I137" s="69" t="n">
        <f aca="false">ROUND(0.72*(1-$O$10),2)</f>
        <v>0.72</v>
      </c>
      <c r="J137" s="69" t="n">
        <f aca="false">ROUND(0*(1-$O$10),2)</f>
        <v>0</v>
      </c>
      <c r="K137" s="69" t="n">
        <f aca="false">ROUND(1.42*(1-$O$10),2)</f>
        <v>1.42</v>
      </c>
      <c r="L137" s="69" t="n">
        <f aca="false">$G137+$H137+$I137+$J137+$K137</f>
        <v>90.38</v>
      </c>
      <c r="M137" s="69" t="n">
        <f aca="false">ROUND($F137*$L137,2)</f>
        <v>3194.93</v>
      </c>
      <c r="N137" s="70" t="n">
        <f aca="false">$O$11</f>
        <v>0.2158185125</v>
      </c>
      <c r="O137" s="69" t="n">
        <f aca="false">ROUND($M137*(1+$N137),2)</f>
        <v>3884.46</v>
      </c>
      <c r="P137" s="71" t="n">
        <f aca="false">$O137/$O$9</f>
        <v>0.0107598957920577</v>
      </c>
      <c r="Q137" s="35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</row>
    <row r="138" customFormat="false" ht="14.25" hidden="false" customHeight="true" outlineLevel="0" collapsed="false">
      <c r="A138" s="65" t="s">
        <v>187</v>
      </c>
      <c r="B138" s="66" t="s">
        <v>69</v>
      </c>
      <c r="C138" s="66" t="n">
        <v>97114</v>
      </c>
      <c r="D138" s="67" t="s">
        <v>134</v>
      </c>
      <c r="E138" s="66" t="s">
        <v>106</v>
      </c>
      <c r="F138" s="68" t="n">
        <v>5.1</v>
      </c>
      <c r="G138" s="69" t="n">
        <f aca="false">ROUND(0.07*(1-$O$10),2)</f>
        <v>0.07</v>
      </c>
      <c r="H138" s="69" t="n">
        <f aca="false">ROUND(0.37*(1-$O$10),2)</f>
        <v>0.37</v>
      </c>
      <c r="I138" s="69" t="n">
        <f aca="false">ROUND(0*(1-$O$10),2)</f>
        <v>0</v>
      </c>
      <c r="J138" s="69" t="n">
        <f aca="false">ROUND(0*(1-$O$10),2)</f>
        <v>0</v>
      </c>
      <c r="K138" s="69" t="n">
        <f aca="false">ROUND(0*(1-$O$10),2)</f>
        <v>0</v>
      </c>
      <c r="L138" s="69" t="n">
        <f aca="false">$G138+$H138+$I138+$J138+$K138</f>
        <v>0.44</v>
      </c>
      <c r="M138" s="69" t="n">
        <f aca="false">ROUND($F138*$L138,2)</f>
        <v>2.24</v>
      </c>
      <c r="N138" s="70" t="n">
        <f aca="false">$O$11</f>
        <v>0.2158185125</v>
      </c>
      <c r="O138" s="69" t="n">
        <f aca="false">ROUND($M138*(1+$N138),2)</f>
        <v>2.72</v>
      </c>
      <c r="P138" s="71" t="n">
        <f aca="false">$O138/$O$9</f>
        <v>7.53435910123849E-006</v>
      </c>
      <c r="Q138" s="35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</row>
    <row r="139" customFormat="false" ht="14.25" hidden="false" customHeight="true" outlineLevel="0" collapsed="false">
      <c r="A139" s="65" t="s">
        <v>188</v>
      </c>
      <c r="B139" s="66" t="s">
        <v>69</v>
      </c>
      <c r="C139" s="66" t="n">
        <v>102990</v>
      </c>
      <c r="D139" s="67" t="s">
        <v>189</v>
      </c>
      <c r="E139" s="66" t="s">
        <v>106</v>
      </c>
      <c r="F139" s="68" t="n">
        <v>82.27</v>
      </c>
      <c r="G139" s="69" t="n">
        <f aca="false">ROUND(20.44*(1-$O$10),2)</f>
        <v>20.44</v>
      </c>
      <c r="H139" s="69" t="n">
        <f aca="false">ROUND(12.15*(1-$O$10),2)</f>
        <v>12.15</v>
      </c>
      <c r="I139" s="69" t="n">
        <f aca="false">ROUND(0*(1-$O$10),2)</f>
        <v>0</v>
      </c>
      <c r="J139" s="69" t="n">
        <f aca="false">ROUND(0*(1-$O$10),2)</f>
        <v>0</v>
      </c>
      <c r="K139" s="69" t="n">
        <f aca="false">ROUND(0*(1-$O$10),2)</f>
        <v>0</v>
      </c>
      <c r="L139" s="69" t="n">
        <f aca="false">$G139+$H139+$I139+$J139+$K139</f>
        <v>32.59</v>
      </c>
      <c r="M139" s="69" t="n">
        <f aca="false">ROUND($F139*$L139,2)</f>
        <v>2681.18</v>
      </c>
      <c r="N139" s="70" t="n">
        <f aca="false">$O$11</f>
        <v>0.2158185125</v>
      </c>
      <c r="O139" s="69" t="n">
        <f aca="false">ROUND($M139*(1+$N139),2)</f>
        <v>3259.83</v>
      </c>
      <c r="P139" s="71" t="n">
        <f aca="false">$O139/$O$9</f>
        <v>0.00902968008418759</v>
      </c>
      <c r="Q139" s="35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</row>
    <row r="140" customFormat="false" ht="14.25" hidden="false" customHeight="true" outlineLevel="0" collapsed="false">
      <c r="A140" s="65" t="s">
        <v>190</v>
      </c>
      <c r="B140" s="66" t="s">
        <v>51</v>
      </c>
      <c r="C140" s="66" t="s">
        <v>191</v>
      </c>
      <c r="D140" s="67" t="s">
        <v>192</v>
      </c>
      <c r="E140" s="66" t="s">
        <v>62</v>
      </c>
      <c r="F140" s="68" t="n">
        <f aca="false">18*0.2*0.2</f>
        <v>0.72</v>
      </c>
      <c r="G140" s="69" t="n">
        <f aca="false">ROUND(102.19*(1-$O$10),2)</f>
        <v>102.19</v>
      </c>
      <c r="H140" s="69" t="n">
        <f aca="false">ROUND(15.17*(1-$O$10),2)</f>
        <v>15.17</v>
      </c>
      <c r="I140" s="69" t="n">
        <f aca="false">ROUND(0.36*(1-$O$10),2)</f>
        <v>0.36</v>
      </c>
      <c r="J140" s="69" t="n">
        <f aca="false">ROUND(0*(1-$O$10),2)</f>
        <v>0</v>
      </c>
      <c r="K140" s="69" t="n">
        <f aca="false">ROUND(0*(1-$O$10),2)</f>
        <v>0</v>
      </c>
      <c r="L140" s="69" t="n">
        <f aca="false">$G140+$H140+$I140+$J140+$K140</f>
        <v>117.72</v>
      </c>
      <c r="M140" s="69" t="n">
        <f aca="false">ROUND($F140*$L140,2)</f>
        <v>84.76</v>
      </c>
      <c r="N140" s="70" t="n">
        <f aca="false">$O$11</f>
        <v>0.2158185125</v>
      </c>
      <c r="O140" s="69" t="n">
        <f aca="false">ROUND($M140*(1+$N140),2)</f>
        <v>103.05</v>
      </c>
      <c r="P140" s="71" t="n">
        <f aca="false">$O140/$O$9</f>
        <v>0.000285446950508318</v>
      </c>
      <c r="Q140" s="35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</row>
    <row r="141" customFormat="false" ht="14.25" hidden="false" customHeight="true" outlineLevel="0" collapsed="false">
      <c r="A141" s="65" t="s">
        <v>193</v>
      </c>
      <c r="B141" s="66" t="s">
        <v>51</v>
      </c>
      <c r="C141" s="66" t="s">
        <v>194</v>
      </c>
      <c r="D141" s="67" t="s">
        <v>195</v>
      </c>
      <c r="E141" s="66" t="s">
        <v>62</v>
      </c>
      <c r="F141" s="68" t="n">
        <f aca="false">24*0.2*0.2</f>
        <v>0.96</v>
      </c>
      <c r="G141" s="69" t="n">
        <f aca="false">ROUND(102.19*(1-$O$10),2)</f>
        <v>102.19</v>
      </c>
      <c r="H141" s="69" t="n">
        <f aca="false">ROUND(15.17*(1-$O$10),2)</f>
        <v>15.17</v>
      </c>
      <c r="I141" s="69" t="n">
        <f aca="false">ROUND(0.36*(1-$O$10),2)</f>
        <v>0.36</v>
      </c>
      <c r="J141" s="69" t="n">
        <f aca="false">ROUND(0*(1-$O$10),2)</f>
        <v>0</v>
      </c>
      <c r="K141" s="69" t="n">
        <f aca="false">ROUND(0*(1-$O$10),2)</f>
        <v>0</v>
      </c>
      <c r="L141" s="69" t="n">
        <f aca="false">$G141+$H141+$I141+$J141+$K141</f>
        <v>117.72</v>
      </c>
      <c r="M141" s="69" t="n">
        <f aca="false">ROUND($F141*$L141,2)</f>
        <v>113.01</v>
      </c>
      <c r="N141" s="70" t="n">
        <f aca="false">$O$11</f>
        <v>0.2158185125</v>
      </c>
      <c r="O141" s="69" t="n">
        <f aca="false">ROUND($M141*(1+$N141),2)</f>
        <v>137.4</v>
      </c>
      <c r="P141" s="71" t="n">
        <f aca="false">$O141/$O$9</f>
        <v>0.000380595934011091</v>
      </c>
      <c r="Q141" s="35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</row>
    <row r="142" customFormat="false" ht="14.25" hidden="false" customHeight="true" outlineLevel="0" collapsed="false">
      <c r="A142" s="65" t="s">
        <v>196</v>
      </c>
      <c r="B142" s="66" t="s">
        <v>51</v>
      </c>
      <c r="C142" s="66" t="s">
        <v>136</v>
      </c>
      <c r="D142" s="67" t="s">
        <v>137</v>
      </c>
      <c r="E142" s="66" t="s">
        <v>62</v>
      </c>
      <c r="F142" s="68" t="n">
        <f aca="false">5*0.25*0.25</f>
        <v>0.3125</v>
      </c>
      <c r="G142" s="69" t="n">
        <f aca="false">ROUND(266.32*(1-$O$10),2)</f>
        <v>266.32</v>
      </c>
      <c r="H142" s="69" t="n">
        <f aca="false">ROUND(5.45*(1-$O$10),2)</f>
        <v>5.45</v>
      </c>
      <c r="I142" s="69" t="n">
        <f aca="false">ROUND(0*(1-$O$10),2)</f>
        <v>0</v>
      </c>
      <c r="J142" s="69" t="n">
        <f aca="false">ROUND(0*(1-$O$10),2)</f>
        <v>0</v>
      </c>
      <c r="K142" s="69" t="n">
        <f aca="false">ROUND(0*(1-$O$10),2)</f>
        <v>0</v>
      </c>
      <c r="L142" s="69" t="n">
        <f aca="false">$G142+$H142+$I142+$J142+$K142</f>
        <v>271.77</v>
      </c>
      <c r="M142" s="69" t="n">
        <f aca="false">ROUND($F142*$L142,2)</f>
        <v>84.93</v>
      </c>
      <c r="N142" s="70" t="n">
        <f aca="false">$O$11</f>
        <v>0.2158185125</v>
      </c>
      <c r="O142" s="69" t="n">
        <f aca="false">ROUND($M142*(1+$N142),2)</f>
        <v>103.26</v>
      </c>
      <c r="P142" s="71" t="n">
        <f aca="false">$O142/$O$9</f>
        <v>0.000286028647350693</v>
      </c>
      <c r="Q142" s="35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</row>
    <row r="143" customFormat="false" ht="14.25" hidden="false" customHeight="true" outlineLevel="0" collapsed="false">
      <c r="A143" s="65" t="s">
        <v>197</v>
      </c>
      <c r="B143" s="66" t="s">
        <v>51</v>
      </c>
      <c r="C143" s="66" t="s">
        <v>139</v>
      </c>
      <c r="D143" s="67" t="s">
        <v>140</v>
      </c>
      <c r="E143" s="66" t="s">
        <v>62</v>
      </c>
      <c r="F143" s="68" t="n">
        <f aca="false">12*0.25*0.25</f>
        <v>0.75</v>
      </c>
      <c r="G143" s="69" t="n">
        <f aca="false">ROUND(266.32*(1-$O$10),2)</f>
        <v>266.32</v>
      </c>
      <c r="H143" s="69" t="n">
        <f aca="false">ROUND(5.45*(1-$O$10),2)</f>
        <v>5.45</v>
      </c>
      <c r="I143" s="69" t="n">
        <f aca="false">ROUND(0*(1-$O$10),2)</f>
        <v>0</v>
      </c>
      <c r="J143" s="69" t="n">
        <f aca="false">ROUND(0*(1-$O$10),2)</f>
        <v>0</v>
      </c>
      <c r="K143" s="69" t="n">
        <f aca="false">ROUND(0*(1-$O$10),2)</f>
        <v>0</v>
      </c>
      <c r="L143" s="69" t="n">
        <f aca="false">$G143+$H143+$I143+$J143+$K143</f>
        <v>271.77</v>
      </c>
      <c r="M143" s="69" t="n">
        <f aca="false">ROUND($F143*$L143,2)</f>
        <v>203.83</v>
      </c>
      <c r="N143" s="70" t="n">
        <f aca="false">$O$11</f>
        <v>0.2158185125</v>
      </c>
      <c r="O143" s="69" t="n">
        <f aca="false">ROUND($M143*(1+$N143),2)</f>
        <v>247.82</v>
      </c>
      <c r="P143" s="71" t="n">
        <f aca="false">$O143/$O$9</f>
        <v>0.00068645767370181</v>
      </c>
      <c r="Q143" s="35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</row>
    <row r="144" customFormat="false" ht="14.25" hidden="false" customHeight="true" outlineLevel="0" collapsed="false">
      <c r="A144" s="65"/>
      <c r="B144" s="66"/>
      <c r="C144" s="66"/>
      <c r="D144" s="67"/>
      <c r="E144" s="66"/>
      <c r="F144" s="68"/>
      <c r="G144" s="69"/>
      <c r="H144" s="69"/>
      <c r="I144" s="69"/>
      <c r="J144" s="69"/>
      <c r="K144" s="69"/>
      <c r="L144" s="69"/>
      <c r="M144" s="69"/>
      <c r="N144" s="70"/>
      <c r="O144" s="69"/>
      <c r="P144" s="71"/>
      <c r="Q144" s="35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</row>
    <row r="145" customFormat="false" ht="14.25" hidden="false" customHeight="true" outlineLevel="0" collapsed="false">
      <c r="A145" s="80"/>
      <c r="B145" s="81"/>
      <c r="C145" s="81"/>
      <c r="D145" s="82" t="str">
        <f aca="false">CONCATENATE("SUBTOTAL ITEM: ", $D$126)</f>
        <v>SUBTOTAL ITEM: ESTACIONAMENTO </v>
      </c>
      <c r="E145" s="81"/>
      <c r="F145" s="83"/>
      <c r="G145" s="84"/>
      <c r="H145" s="84"/>
      <c r="I145" s="84"/>
      <c r="J145" s="84"/>
      <c r="K145" s="84"/>
      <c r="L145" s="84"/>
      <c r="M145" s="84" t="n">
        <f aca="false">$M126</f>
        <v>68573.02</v>
      </c>
      <c r="N145" s="85"/>
      <c r="O145" s="84" t="n">
        <f aca="false">$O126</f>
        <v>83372.34</v>
      </c>
      <c r="P145" s="86" t="n">
        <f aca="false">$P126</f>
        <v>0.230940128187702</v>
      </c>
      <c r="Q145" s="35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</row>
    <row r="146" customFormat="false" ht="14.25" hidden="false" customHeight="true" outlineLevel="0" collapsed="false">
      <c r="A146" s="65"/>
      <c r="B146" s="66"/>
      <c r="C146" s="66"/>
      <c r="D146" s="67"/>
      <c r="E146" s="66"/>
      <c r="F146" s="68"/>
      <c r="G146" s="69"/>
      <c r="H146" s="69"/>
      <c r="I146" s="69"/>
      <c r="J146" s="69"/>
      <c r="K146" s="69"/>
      <c r="L146" s="69"/>
      <c r="M146" s="69"/>
      <c r="N146" s="70"/>
      <c r="O146" s="69"/>
      <c r="P146" s="71"/>
      <c r="Q146" s="35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</row>
    <row r="147" customFormat="false" ht="14.25" hidden="false" customHeight="true" outlineLevel="0" collapsed="false">
      <c r="A147" s="80" t="s">
        <v>198</v>
      </c>
      <c r="B147" s="81"/>
      <c r="C147" s="81"/>
      <c r="D147" s="82" t="s">
        <v>142</v>
      </c>
      <c r="E147" s="81"/>
      <c r="F147" s="83"/>
      <c r="G147" s="84"/>
      <c r="H147" s="84"/>
      <c r="I147" s="84"/>
      <c r="J147" s="84"/>
      <c r="K147" s="84"/>
      <c r="L147" s="84" t="s">
        <v>49</v>
      </c>
      <c r="M147" s="84" t="n">
        <f aca="false">SUMIFS($M148:$M150, $B148:$B150, "&lt;&gt;")</f>
        <v>6770.05</v>
      </c>
      <c r="N147" s="85"/>
      <c r="O147" s="84" t="n">
        <f aca="false">SUMIFS($O148:$O150, $B148:$B150, "&lt;&gt;")</f>
        <v>8231.15</v>
      </c>
      <c r="P147" s="86" t="n">
        <f aca="false">$O147/$O$9</f>
        <v>0.022800161733882</v>
      </c>
      <c r="Q147" s="35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</row>
    <row r="148" customFormat="false" ht="14.25" hidden="false" customHeight="true" outlineLevel="0" collapsed="false">
      <c r="A148" s="65"/>
      <c r="B148" s="66"/>
      <c r="C148" s="66"/>
      <c r="D148" s="67"/>
      <c r="E148" s="66"/>
      <c r="F148" s="68"/>
      <c r="G148" s="69"/>
      <c r="H148" s="69"/>
      <c r="I148" s="69"/>
      <c r="J148" s="69"/>
      <c r="K148" s="69"/>
      <c r="L148" s="69"/>
      <c r="M148" s="69"/>
      <c r="N148" s="70"/>
      <c r="O148" s="69"/>
      <c r="P148" s="71"/>
      <c r="Q148" s="35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</row>
    <row r="149" customFormat="false" ht="14.25" hidden="false" customHeight="true" outlineLevel="0" collapsed="false">
      <c r="A149" s="65" t="s">
        <v>199</v>
      </c>
      <c r="B149" s="66" t="s">
        <v>69</v>
      </c>
      <c r="C149" s="66" t="n">
        <v>98504</v>
      </c>
      <c r="D149" s="67" t="s">
        <v>144</v>
      </c>
      <c r="E149" s="66" t="s">
        <v>62</v>
      </c>
      <c r="F149" s="68" t="n">
        <v>614.9</v>
      </c>
      <c r="G149" s="69" t="n">
        <f aca="false">ROUND(7.58*(1-$O$10),2)</f>
        <v>7.58</v>
      </c>
      <c r="H149" s="69" t="n">
        <f aca="false">ROUND(3.43*(1-$O$10),2)</f>
        <v>3.43</v>
      </c>
      <c r="I149" s="69" t="n">
        <f aca="false">ROUND(0*(1-$O$10),2)</f>
        <v>0</v>
      </c>
      <c r="J149" s="69" t="n">
        <f aca="false">ROUND(0*(1-$O$10),2)</f>
        <v>0</v>
      </c>
      <c r="K149" s="69" t="n">
        <f aca="false">ROUND(0*(1-$O$10),2)</f>
        <v>0</v>
      </c>
      <c r="L149" s="69" t="n">
        <f aca="false">$G149+$H149+$I149+$J149+$K149</f>
        <v>11.01</v>
      </c>
      <c r="M149" s="69" t="n">
        <f aca="false">ROUND($F149*$L149,2)</f>
        <v>6770.05</v>
      </c>
      <c r="N149" s="70" t="n">
        <f aca="false">$O$11</f>
        <v>0.2158185125</v>
      </c>
      <c r="O149" s="69" t="n">
        <f aca="false">ROUND($M149*(1+$N149),2)</f>
        <v>8231.15</v>
      </c>
      <c r="P149" s="71" t="n">
        <f aca="false">$O149/$O$9</f>
        <v>0.022800161733882</v>
      </c>
      <c r="Q149" s="35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</row>
    <row r="150" customFormat="false" ht="14.25" hidden="false" customHeight="true" outlineLevel="0" collapsed="false">
      <c r="A150" s="65"/>
      <c r="B150" s="66"/>
      <c r="C150" s="66"/>
      <c r="D150" s="67"/>
      <c r="E150" s="66"/>
      <c r="F150" s="68"/>
      <c r="G150" s="69"/>
      <c r="H150" s="69"/>
      <c r="I150" s="69"/>
      <c r="J150" s="69"/>
      <c r="K150" s="69"/>
      <c r="L150" s="69"/>
      <c r="M150" s="69"/>
      <c r="N150" s="70"/>
      <c r="O150" s="69"/>
      <c r="P150" s="71"/>
      <c r="Q150" s="35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</row>
    <row r="151" customFormat="false" ht="14.25" hidden="false" customHeight="true" outlineLevel="0" collapsed="false">
      <c r="A151" s="80"/>
      <c r="B151" s="81"/>
      <c r="C151" s="81"/>
      <c r="D151" s="82" t="str">
        <f aca="false">CONCATENATE("SUBTOTAL ITEM: ", $D$147)</f>
        <v>SUBTOTAL ITEM: PAISAGISMO</v>
      </c>
      <c r="E151" s="81"/>
      <c r="F151" s="83"/>
      <c r="G151" s="84"/>
      <c r="H151" s="84"/>
      <c r="I151" s="84"/>
      <c r="J151" s="84"/>
      <c r="K151" s="84"/>
      <c r="L151" s="84"/>
      <c r="M151" s="84" t="n">
        <f aca="false">$M147</f>
        <v>6770.05</v>
      </c>
      <c r="N151" s="85"/>
      <c r="O151" s="84" t="n">
        <f aca="false">$O147</f>
        <v>8231.15</v>
      </c>
      <c r="P151" s="86" t="n">
        <f aca="false">$P147</f>
        <v>0.022800161733882</v>
      </c>
      <c r="Q151" s="35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</row>
    <row r="152" customFormat="false" ht="14.25" hidden="false" customHeight="true" outlineLevel="0" collapsed="false">
      <c r="A152" s="65"/>
      <c r="B152" s="66"/>
      <c r="C152" s="66"/>
      <c r="D152" s="67"/>
      <c r="E152" s="66"/>
      <c r="F152" s="68"/>
      <c r="G152" s="69"/>
      <c r="H152" s="69"/>
      <c r="I152" s="69"/>
      <c r="J152" s="69"/>
      <c r="K152" s="69"/>
      <c r="L152" s="69"/>
      <c r="M152" s="69"/>
      <c r="N152" s="70"/>
      <c r="O152" s="69"/>
      <c r="P152" s="71"/>
      <c r="Q152" s="35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</row>
    <row r="153" customFormat="false" ht="14.25" hidden="false" customHeight="true" outlineLevel="0" collapsed="false">
      <c r="A153" s="80" t="s">
        <v>200</v>
      </c>
      <c r="B153" s="81"/>
      <c r="C153" s="81"/>
      <c r="D153" s="82" t="s">
        <v>146</v>
      </c>
      <c r="E153" s="81"/>
      <c r="F153" s="83"/>
      <c r="G153" s="84"/>
      <c r="H153" s="84"/>
      <c r="I153" s="84"/>
      <c r="J153" s="84"/>
      <c r="K153" s="84"/>
      <c r="L153" s="84" t="s">
        <v>49</v>
      </c>
      <c r="M153" s="84" t="n">
        <f aca="false">SUMIFS($M154:$M162, $B154:$B162, "&lt;&gt;")</f>
        <v>4764.34</v>
      </c>
      <c r="N153" s="85"/>
      <c r="O153" s="84" t="n">
        <f aca="false">SUMIFS($O154:$O162, $B154:$B162, "&lt;&gt;")</f>
        <v>5792.59</v>
      </c>
      <c r="P153" s="86" t="n">
        <f aca="false">$O153/$O$9</f>
        <v>0.0160453872008247</v>
      </c>
      <c r="Q153" s="35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</row>
    <row r="154" customFormat="false" ht="14.25" hidden="false" customHeight="true" outlineLevel="0" collapsed="false">
      <c r="A154" s="65"/>
      <c r="B154" s="66"/>
      <c r="C154" s="66"/>
      <c r="D154" s="67"/>
      <c r="E154" s="66"/>
      <c r="F154" s="68"/>
      <c r="G154" s="69"/>
      <c r="H154" s="69"/>
      <c r="I154" s="69"/>
      <c r="J154" s="69"/>
      <c r="K154" s="69"/>
      <c r="L154" s="69"/>
      <c r="M154" s="69"/>
      <c r="N154" s="70"/>
      <c r="O154" s="69"/>
      <c r="P154" s="71"/>
      <c r="Q154" s="35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</row>
    <row r="155" customFormat="false" ht="14.25" hidden="false" customHeight="true" outlineLevel="0" collapsed="false">
      <c r="A155" s="65" t="s">
        <v>201</v>
      </c>
      <c r="B155" s="66" t="s">
        <v>69</v>
      </c>
      <c r="C155" s="66" t="n">
        <v>93358</v>
      </c>
      <c r="D155" s="67" t="s">
        <v>148</v>
      </c>
      <c r="E155" s="66" t="s">
        <v>85</v>
      </c>
      <c r="F155" s="68" t="n">
        <f aca="false">0.063*F158</f>
        <v>0.378</v>
      </c>
      <c r="G155" s="69" t="n">
        <f aca="false">ROUND(30.44*(1-$O$10),2)</f>
        <v>30.44</v>
      </c>
      <c r="H155" s="69" t="n">
        <f aca="false">ROUND(68.93*(1-$O$10),2)</f>
        <v>68.93</v>
      </c>
      <c r="I155" s="69" t="n">
        <f aca="false">ROUND(0*(1-$O$10),2)</f>
        <v>0</v>
      </c>
      <c r="J155" s="69" t="n">
        <f aca="false">ROUND(0*(1-$O$10),2)</f>
        <v>0</v>
      </c>
      <c r="K155" s="69" t="n">
        <f aca="false">ROUND(0*(1-$O$10),2)</f>
        <v>0</v>
      </c>
      <c r="L155" s="69" t="n">
        <f aca="false">$G155+$H155+$I155+$J155+$K155</f>
        <v>99.37</v>
      </c>
      <c r="M155" s="69" t="n">
        <f aca="false">ROUND($F155*$L155,2)</f>
        <v>37.56</v>
      </c>
      <c r="N155" s="70" t="n">
        <f aca="false">$O$11</f>
        <v>0.2158185125</v>
      </c>
      <c r="O155" s="69" t="n">
        <f aca="false">ROUND($M155*(1+$N155),2)</f>
        <v>45.67</v>
      </c>
      <c r="P155" s="71" t="n">
        <f aca="false">$O155/$O$9</f>
        <v>0.000126505213291751</v>
      </c>
      <c r="Q155" s="35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</row>
    <row r="156" customFormat="false" ht="14.25" hidden="false" customHeight="true" outlineLevel="0" collapsed="false">
      <c r="A156" s="65" t="s">
        <v>202</v>
      </c>
      <c r="B156" s="66" t="s">
        <v>69</v>
      </c>
      <c r="C156" s="66" t="n">
        <v>94970</v>
      </c>
      <c r="D156" s="67" t="s">
        <v>150</v>
      </c>
      <c r="E156" s="66" t="s">
        <v>85</v>
      </c>
      <c r="F156" s="68" t="n">
        <f aca="false">F155</f>
        <v>0.378</v>
      </c>
      <c r="G156" s="69" t="n">
        <f aca="false">ROUND(374.83*(1-$O$10),2)</f>
        <v>374.83</v>
      </c>
      <c r="H156" s="69" t="n">
        <f aca="false">ROUND(59.54*(1-$O$10),2)</f>
        <v>59.54</v>
      </c>
      <c r="I156" s="69" t="n">
        <f aca="false">ROUND(2.47*(1-$O$10),2)</f>
        <v>2.47</v>
      </c>
      <c r="J156" s="69" t="n">
        <f aca="false">ROUND(0*(1-$O$10),2)</f>
        <v>0</v>
      </c>
      <c r="K156" s="69" t="n">
        <f aca="false">ROUND(1.15*(1-$O$10),2)</f>
        <v>1.15</v>
      </c>
      <c r="L156" s="69" t="n">
        <f aca="false">$G156+$H156+$I156+$J156+$K156</f>
        <v>437.99</v>
      </c>
      <c r="M156" s="69" t="n">
        <f aca="false">ROUND($F156*$L156,2)</f>
        <v>165.56</v>
      </c>
      <c r="N156" s="70" t="n">
        <f aca="false">$O$11</f>
        <v>0.2158185125</v>
      </c>
      <c r="O156" s="69" t="n">
        <f aca="false">ROUND($M156*(1+$N156),2)</f>
        <v>201.29</v>
      </c>
      <c r="P156" s="71" t="n">
        <f aca="false">$O156/$O$9</f>
        <v>0.000557570273341285</v>
      </c>
      <c r="Q156" s="35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</row>
    <row r="157" customFormat="false" ht="14.25" hidden="false" customHeight="true" outlineLevel="0" collapsed="false">
      <c r="A157" s="65" t="s">
        <v>203</v>
      </c>
      <c r="B157" s="66" t="s">
        <v>69</v>
      </c>
      <c r="C157" s="66" t="n">
        <v>103670</v>
      </c>
      <c r="D157" s="67" t="s">
        <v>152</v>
      </c>
      <c r="E157" s="66" t="s">
        <v>85</v>
      </c>
      <c r="F157" s="68" t="n">
        <f aca="false">F156</f>
        <v>0.378</v>
      </c>
      <c r="G157" s="69" t="n">
        <f aca="false">ROUND(95*(1-$O$10),2)</f>
        <v>95</v>
      </c>
      <c r="H157" s="69" t="n">
        <f aca="false">ROUND(249.37*(1-$O$10),2)</f>
        <v>249.37</v>
      </c>
      <c r="I157" s="69" t="n">
        <f aca="false">ROUND(1.38*(1-$O$10),2)</f>
        <v>1.38</v>
      </c>
      <c r="J157" s="69" t="n">
        <f aca="false">ROUND(0*(1-$O$10),2)</f>
        <v>0</v>
      </c>
      <c r="K157" s="69" t="n">
        <f aca="false">ROUND(0.37*(1-$O$10),2)</f>
        <v>0.37</v>
      </c>
      <c r="L157" s="69" t="n">
        <f aca="false">$G157+$H157+$I157+$J157+$K157</f>
        <v>346.12</v>
      </c>
      <c r="M157" s="69" t="n">
        <f aca="false">ROUND($F157*$L157,2)</f>
        <v>130.83</v>
      </c>
      <c r="N157" s="70" t="n">
        <f aca="false">$O$11</f>
        <v>0.2158185125</v>
      </c>
      <c r="O157" s="69" t="n">
        <f aca="false">ROUND($M157*(1+$N157),2)</f>
        <v>159.07</v>
      </c>
      <c r="P157" s="71" t="n">
        <f aca="false">$O157/$O$9</f>
        <v>0.000440621508174267</v>
      </c>
      <c r="Q157" s="35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</row>
    <row r="158" customFormat="false" ht="14.25" hidden="false" customHeight="true" outlineLevel="0" collapsed="false">
      <c r="A158" s="65" t="s">
        <v>204</v>
      </c>
      <c r="B158" s="66" t="s">
        <v>51</v>
      </c>
      <c r="C158" s="66" t="s">
        <v>154</v>
      </c>
      <c r="D158" s="67" t="s">
        <v>155</v>
      </c>
      <c r="E158" s="66" t="s">
        <v>54</v>
      </c>
      <c r="F158" s="68" t="n">
        <v>6</v>
      </c>
      <c r="G158" s="69" t="n">
        <f aca="false">ROUND(237.86*(1-$O$10),2)</f>
        <v>237.86</v>
      </c>
      <c r="H158" s="69" t="n">
        <f aca="false">ROUND(8.71*(1-$O$10),2)</f>
        <v>8.71</v>
      </c>
      <c r="I158" s="69" t="n">
        <f aca="false">ROUND(0*(1-$O$10),2)</f>
        <v>0</v>
      </c>
      <c r="J158" s="69" t="n">
        <f aca="false">ROUND(0*(1-$O$10),2)</f>
        <v>0</v>
      </c>
      <c r="K158" s="69" t="n">
        <f aca="false">ROUND(0*(1-$O$10),2)</f>
        <v>0</v>
      </c>
      <c r="L158" s="69" t="n">
        <f aca="false">$G158+$H158+$I158+$J158+$K158</f>
        <v>246.57</v>
      </c>
      <c r="M158" s="69" t="n">
        <f aca="false">ROUND($F158*$L158,2)</f>
        <v>1479.42</v>
      </c>
      <c r="N158" s="70" t="n">
        <f aca="false">$O$11</f>
        <v>0.2158185125</v>
      </c>
      <c r="O158" s="69" t="n">
        <f aca="false">ROUND($M158*(1+$N158),2)</f>
        <v>1798.71</v>
      </c>
      <c r="P158" s="71" t="n">
        <f aca="false">$O158/$O$9</f>
        <v>0.00498239965403996</v>
      </c>
      <c r="Q158" s="35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</row>
    <row r="159" customFormat="false" ht="14.25" hidden="false" customHeight="true" outlineLevel="0" collapsed="false">
      <c r="A159" s="65" t="s">
        <v>205</v>
      </c>
      <c r="B159" s="66" t="s">
        <v>51</v>
      </c>
      <c r="C159" s="66" t="s">
        <v>157</v>
      </c>
      <c r="D159" s="67" t="s">
        <v>158</v>
      </c>
      <c r="E159" s="66" t="s">
        <v>54</v>
      </c>
      <c r="F159" s="68" t="n">
        <v>6</v>
      </c>
      <c r="G159" s="69" t="n">
        <f aca="false">ROUND(38.29*(1-$O$10),2)</f>
        <v>38.29</v>
      </c>
      <c r="H159" s="69" t="n">
        <f aca="false">ROUND(17.46*(1-$O$10),2)</f>
        <v>17.46</v>
      </c>
      <c r="I159" s="69" t="n">
        <f aca="false">ROUND(0*(1-$O$10),2)</f>
        <v>0</v>
      </c>
      <c r="J159" s="69" t="n">
        <f aca="false">ROUND(0*(1-$O$10),2)</f>
        <v>0</v>
      </c>
      <c r="K159" s="69" t="n">
        <f aca="false">ROUND(0*(1-$O$10),2)</f>
        <v>0</v>
      </c>
      <c r="L159" s="69" t="n">
        <f aca="false">$G159+$H159+$I159+$J159+$K159</f>
        <v>55.75</v>
      </c>
      <c r="M159" s="69" t="n">
        <f aca="false">ROUND($F159*$L159,2)</f>
        <v>334.5</v>
      </c>
      <c r="N159" s="70" t="n">
        <f aca="false">$O$11</f>
        <v>0.2158185125</v>
      </c>
      <c r="O159" s="69" t="n">
        <f aca="false">ROUND($M159*(1+$N159),2)</f>
        <v>406.69</v>
      </c>
      <c r="P159" s="71" t="n">
        <f aca="false">$O159/$O$9</f>
        <v>0.00112652518488334</v>
      </c>
      <c r="Q159" s="35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</row>
    <row r="160" customFormat="false" ht="14.25" hidden="false" customHeight="true" outlineLevel="0" collapsed="false">
      <c r="A160" s="65" t="s">
        <v>206</v>
      </c>
      <c r="B160" s="66" t="s">
        <v>51</v>
      </c>
      <c r="C160" s="66" t="s">
        <v>160</v>
      </c>
      <c r="D160" s="67" t="s">
        <v>161</v>
      </c>
      <c r="E160" s="66" t="s">
        <v>62</v>
      </c>
      <c r="F160" s="68" t="n">
        <f aca="false">0.45*6</f>
        <v>2.7</v>
      </c>
      <c r="G160" s="69" t="n">
        <f aca="false">ROUND(577.5*(1-$O$10),2)</f>
        <v>577.5</v>
      </c>
      <c r="H160" s="69" t="n">
        <f aca="false">ROUND(0*(1-$O$10),2)</f>
        <v>0</v>
      </c>
      <c r="I160" s="69" t="n">
        <f aca="false">ROUND(0*(1-$O$10),2)</f>
        <v>0</v>
      </c>
      <c r="J160" s="69" t="n">
        <f aca="false">ROUND(0*(1-$O$10),2)</f>
        <v>0</v>
      </c>
      <c r="K160" s="69" t="n">
        <f aca="false">ROUND(0*(1-$O$10),2)</f>
        <v>0</v>
      </c>
      <c r="L160" s="69" t="n">
        <f aca="false">$G160+$H160+$I160+$J160+$K160</f>
        <v>577.5</v>
      </c>
      <c r="M160" s="69" t="n">
        <f aca="false">ROUND($F160*$L160,2)</f>
        <v>1559.25</v>
      </c>
      <c r="N160" s="70" t="n">
        <f aca="false">$O$11</f>
        <v>0.2158185125</v>
      </c>
      <c r="O160" s="69" t="n">
        <f aca="false">ROUND($M160*(1+$N160),2)</f>
        <v>1895.77</v>
      </c>
      <c r="P160" s="71" t="n">
        <f aca="false">$O160/$O$9</f>
        <v>0.00525125439461577</v>
      </c>
      <c r="Q160" s="35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</row>
    <row r="161" customFormat="false" ht="14.25" hidden="false" customHeight="true" outlineLevel="0" collapsed="false">
      <c r="A161" s="65" t="s">
        <v>207</v>
      </c>
      <c r="B161" s="66" t="s">
        <v>51</v>
      </c>
      <c r="C161" s="66" t="s">
        <v>163</v>
      </c>
      <c r="D161" s="67" t="s">
        <v>164</v>
      </c>
      <c r="E161" s="66" t="s">
        <v>62</v>
      </c>
      <c r="F161" s="68" t="n">
        <v>34.17</v>
      </c>
      <c r="G161" s="69" t="n">
        <f aca="false">ROUND(12.93*(1-$O$10),2)</f>
        <v>12.93</v>
      </c>
      <c r="H161" s="69" t="n">
        <f aca="false">ROUND(18.01*(1-$O$10),2)</f>
        <v>18.01</v>
      </c>
      <c r="I161" s="69" t="n">
        <f aca="false">ROUND(0*(1-$O$10),2)</f>
        <v>0</v>
      </c>
      <c r="J161" s="69" t="n">
        <f aca="false">ROUND(0*(1-$O$10),2)</f>
        <v>0</v>
      </c>
      <c r="K161" s="69" t="n">
        <f aca="false">ROUND(0*(1-$O$10),2)</f>
        <v>0</v>
      </c>
      <c r="L161" s="69" t="n">
        <f aca="false">$G161+$H161+$I161+$J161+$K161</f>
        <v>30.94</v>
      </c>
      <c r="M161" s="69" t="n">
        <f aca="false">ROUND($F161*$L161,2)</f>
        <v>1057.22</v>
      </c>
      <c r="N161" s="70" t="n">
        <f aca="false">$O$11</f>
        <v>0.2158185125</v>
      </c>
      <c r="O161" s="69" t="n">
        <f aca="false">ROUND($M161*(1+$N161),2)</f>
        <v>1285.39</v>
      </c>
      <c r="P161" s="71" t="n">
        <f aca="false">$O161/$O$9</f>
        <v>0.00356051097247829</v>
      </c>
      <c r="Q161" s="35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</row>
    <row r="162" customFormat="false" ht="14.25" hidden="false" customHeight="true" outlineLevel="0" collapsed="false">
      <c r="A162" s="65"/>
      <c r="B162" s="66"/>
      <c r="C162" s="66"/>
      <c r="D162" s="67"/>
      <c r="E162" s="66"/>
      <c r="F162" s="68"/>
      <c r="G162" s="69"/>
      <c r="H162" s="69"/>
      <c r="I162" s="69"/>
      <c r="J162" s="69"/>
      <c r="K162" s="69"/>
      <c r="L162" s="69"/>
      <c r="M162" s="69"/>
      <c r="N162" s="70"/>
      <c r="O162" s="69"/>
      <c r="P162" s="71"/>
      <c r="Q162" s="35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</row>
    <row r="163" customFormat="false" ht="14.25" hidden="false" customHeight="true" outlineLevel="0" collapsed="false">
      <c r="A163" s="80"/>
      <c r="B163" s="81"/>
      <c r="C163" s="81"/>
      <c r="D163" s="82" t="str">
        <f aca="false">CONCATENATE("SUBTOTAL ITEM: ", $D$153)</f>
        <v>SUBTOTAL ITEM: SINALIZAÇÃO VIÁRIA</v>
      </c>
      <c r="E163" s="81"/>
      <c r="F163" s="83"/>
      <c r="G163" s="84"/>
      <c r="H163" s="84"/>
      <c r="I163" s="84"/>
      <c r="J163" s="84"/>
      <c r="K163" s="84"/>
      <c r="L163" s="84"/>
      <c r="M163" s="84" t="n">
        <f aca="false">$M153</f>
        <v>4764.34</v>
      </c>
      <c r="N163" s="85"/>
      <c r="O163" s="84" t="n">
        <f aca="false">$O153</f>
        <v>5792.59</v>
      </c>
      <c r="P163" s="86" t="n">
        <f aca="false">$P153</f>
        <v>0.0160453872008247</v>
      </c>
      <c r="Q163" s="35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</row>
    <row r="164" customFormat="false" ht="14.25" hidden="false" customHeight="true" outlineLevel="0" collapsed="false">
      <c r="A164" s="65"/>
      <c r="B164" s="66"/>
      <c r="C164" s="66"/>
      <c r="D164" s="67"/>
      <c r="E164" s="66"/>
      <c r="F164" s="68"/>
      <c r="G164" s="69"/>
      <c r="H164" s="69"/>
      <c r="I164" s="69"/>
      <c r="J164" s="69"/>
      <c r="K164" s="69"/>
      <c r="L164" s="69"/>
      <c r="M164" s="69"/>
      <c r="N164" s="70"/>
      <c r="O164" s="69"/>
      <c r="P164" s="71"/>
      <c r="Q164" s="35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</row>
    <row r="165" customFormat="false" ht="14.25" hidden="false" customHeight="true" outlineLevel="0" collapsed="false">
      <c r="A165" s="79"/>
      <c r="B165" s="73"/>
      <c r="C165" s="73"/>
      <c r="D165" s="74" t="str">
        <f aca="false">CONCATENATE("SUBTOTAL ITEM: ", $D$124)</f>
        <v>SUBTOTAL ITEM: PAVIMENTAÇÃO – LABORATÓRIOS</v>
      </c>
      <c r="E165" s="73"/>
      <c r="F165" s="75"/>
      <c r="G165" s="76"/>
      <c r="H165" s="76"/>
      <c r="I165" s="76"/>
      <c r="J165" s="76"/>
      <c r="K165" s="76"/>
      <c r="L165" s="76"/>
      <c r="M165" s="76" t="n">
        <f aca="false">$M124</f>
        <v>80107.41</v>
      </c>
      <c r="N165" s="77"/>
      <c r="O165" s="76" t="n">
        <f aca="false">$O124</f>
        <v>97396.08</v>
      </c>
      <c r="P165" s="78" t="n">
        <f aca="false">$P124</f>
        <v>0.269785677122409</v>
      </c>
      <c r="Q165" s="35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</row>
    <row r="166" customFormat="false" ht="14.25" hidden="false" customHeight="true" outlineLevel="0" collapsed="false">
      <c r="A166" s="65"/>
      <c r="B166" s="66"/>
      <c r="C166" s="66"/>
      <c r="D166" s="67"/>
      <c r="E166" s="66"/>
      <c r="F166" s="68"/>
      <c r="G166" s="69"/>
      <c r="H166" s="69"/>
      <c r="I166" s="69"/>
      <c r="J166" s="69"/>
      <c r="K166" s="69"/>
      <c r="L166" s="69"/>
      <c r="M166" s="69"/>
      <c r="N166" s="70"/>
      <c r="O166" s="69"/>
      <c r="P166" s="71"/>
      <c r="Q166" s="35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</row>
    <row r="167" customFormat="false" ht="14.25" hidden="false" customHeight="true" outlineLevel="0" collapsed="false">
      <c r="A167" s="65"/>
      <c r="B167" s="66"/>
      <c r="C167" s="66"/>
      <c r="D167" s="91" t="s">
        <v>208</v>
      </c>
      <c r="E167" s="66"/>
      <c r="F167" s="68"/>
      <c r="G167" s="69"/>
      <c r="H167" s="69"/>
      <c r="I167" s="69"/>
      <c r="J167" s="69"/>
      <c r="K167" s="69"/>
      <c r="L167" s="69"/>
      <c r="M167" s="69"/>
      <c r="N167" s="70"/>
      <c r="O167" s="69"/>
      <c r="P167" s="71"/>
      <c r="Q167" s="35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</row>
    <row r="168" customFormat="false" ht="14.25" hidden="false" customHeight="true" outlineLevel="0" collapsed="false">
      <c r="A168" s="65"/>
      <c r="B168" s="66"/>
      <c r="C168" s="66"/>
      <c r="D168" s="67"/>
      <c r="E168" s="66"/>
      <c r="F168" s="68"/>
      <c r="G168" s="69"/>
      <c r="H168" s="69"/>
      <c r="I168" s="69"/>
      <c r="J168" s="69"/>
      <c r="K168" s="69"/>
      <c r="L168" s="69"/>
      <c r="M168" s="69"/>
      <c r="N168" s="70"/>
      <c r="O168" s="69"/>
      <c r="P168" s="71"/>
      <c r="Q168" s="35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</row>
    <row r="169" customFormat="false" ht="14.25" hidden="false" customHeight="true" outlineLevel="0" collapsed="false">
      <c r="A169" s="72" t="s">
        <v>209</v>
      </c>
      <c r="B169" s="73"/>
      <c r="C169" s="73"/>
      <c r="D169" s="74" t="s">
        <v>210</v>
      </c>
      <c r="E169" s="73"/>
      <c r="F169" s="75"/>
      <c r="G169" s="76"/>
      <c r="H169" s="76"/>
      <c r="I169" s="76"/>
      <c r="J169" s="76"/>
      <c r="K169" s="76"/>
      <c r="L169" s="76" t="s">
        <v>49</v>
      </c>
      <c r="M169" s="76" t="n">
        <f aca="false">SUMIFS($M170:$M177, $B170:$B177, "&lt;&gt;")</f>
        <v>1417.85</v>
      </c>
      <c r="N169" s="77"/>
      <c r="O169" s="76" t="n">
        <f aca="false">SUMIFS($O170:$O177, $B170:$B177, "&lt;&gt;")</f>
        <v>1723.85</v>
      </c>
      <c r="P169" s="78" t="n">
        <f aca="false">$O169/$O$9</f>
        <v>0.00477503857965808</v>
      </c>
      <c r="Q169" s="35"/>
      <c r="R169" s="92"/>
      <c r="S169" s="92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</row>
    <row r="170" customFormat="false" ht="14.25" hidden="false" customHeight="true" outlineLevel="0" collapsed="false">
      <c r="A170" s="65"/>
      <c r="B170" s="66"/>
      <c r="C170" s="66"/>
      <c r="D170" s="67"/>
      <c r="E170" s="66"/>
      <c r="F170" s="68"/>
      <c r="G170" s="69"/>
      <c r="H170" s="69"/>
      <c r="I170" s="69"/>
      <c r="J170" s="69"/>
      <c r="K170" s="69"/>
      <c r="L170" s="69"/>
      <c r="M170" s="69"/>
      <c r="N170" s="70"/>
      <c r="O170" s="69"/>
      <c r="P170" s="71"/>
      <c r="Q170" s="35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</row>
    <row r="171" customFormat="false" ht="14.25" hidden="false" customHeight="true" outlineLevel="0" collapsed="false">
      <c r="A171" s="80" t="s">
        <v>211</v>
      </c>
      <c r="B171" s="81"/>
      <c r="C171" s="81"/>
      <c r="D171" s="82" t="s">
        <v>82</v>
      </c>
      <c r="E171" s="81"/>
      <c r="F171" s="83"/>
      <c r="G171" s="84"/>
      <c r="H171" s="84"/>
      <c r="I171" s="84"/>
      <c r="J171" s="84"/>
      <c r="K171" s="84"/>
      <c r="L171" s="84" t="s">
        <v>49</v>
      </c>
      <c r="M171" s="84" t="n">
        <f aca="false">SUMIFS($M172:$M175, $B172:$B175, "&lt;&gt;")</f>
        <v>1417.85</v>
      </c>
      <c r="N171" s="85"/>
      <c r="O171" s="84" t="n">
        <f aca="false">SUMIFS($O172:$O175, $B172:$B175, "&lt;&gt;")</f>
        <v>1723.85</v>
      </c>
      <c r="P171" s="86" t="n">
        <f aca="false">$O171/$O$9</f>
        <v>0.00477503857965808</v>
      </c>
      <c r="Q171" s="35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</row>
    <row r="172" customFormat="false" ht="14.25" hidden="false" customHeight="true" outlineLevel="0" collapsed="false">
      <c r="A172" s="65"/>
      <c r="B172" s="66"/>
      <c r="C172" s="66"/>
      <c r="D172" s="67"/>
      <c r="E172" s="66"/>
      <c r="F172" s="68"/>
      <c r="G172" s="69"/>
      <c r="H172" s="69"/>
      <c r="I172" s="69"/>
      <c r="J172" s="69"/>
      <c r="K172" s="69"/>
      <c r="L172" s="69"/>
      <c r="M172" s="69"/>
      <c r="N172" s="70"/>
      <c r="O172" s="69"/>
      <c r="P172" s="71"/>
      <c r="Q172" s="35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</row>
    <row r="173" customFormat="false" ht="14.25" hidden="false" customHeight="true" outlineLevel="0" collapsed="false">
      <c r="A173" s="65" t="s">
        <v>212</v>
      </c>
      <c r="B173" s="66" t="s">
        <v>69</v>
      </c>
      <c r="C173" s="66" t="n">
        <v>98525</v>
      </c>
      <c r="D173" s="67" t="s">
        <v>170</v>
      </c>
      <c r="E173" s="66" t="s">
        <v>62</v>
      </c>
      <c r="F173" s="68" t="n">
        <v>350</v>
      </c>
      <c r="G173" s="69" t="n">
        <f aca="false">ROUND(0.05*(1-$O$10),2)</f>
        <v>0.05</v>
      </c>
      <c r="H173" s="69" t="n">
        <f aca="false">ROUND(0.22*(1-$O$10),2)</f>
        <v>0.22</v>
      </c>
      <c r="I173" s="69" t="n">
        <f aca="false">ROUND(0.16*(1-$O$10),2)</f>
        <v>0.16</v>
      </c>
      <c r="J173" s="69" t="n">
        <f aca="false">ROUND(0*(1-$O$10),2)</f>
        <v>0</v>
      </c>
      <c r="K173" s="69" t="n">
        <f aca="false">ROUND(0*(1-$O$10),2)</f>
        <v>0</v>
      </c>
      <c r="L173" s="69" t="n">
        <f aca="false">$G173+$H173+$I173+$J173+$K173</f>
        <v>0.43</v>
      </c>
      <c r="M173" s="69" t="n">
        <f aca="false">ROUND($F173*$L173,2)</f>
        <v>150.5</v>
      </c>
      <c r="N173" s="70" t="n">
        <f aca="false">$O$11</f>
        <v>0.2158185125</v>
      </c>
      <c r="O173" s="69" t="n">
        <f aca="false">ROUND($M173*(1+$N173),2)</f>
        <v>182.98</v>
      </c>
      <c r="P173" s="71" t="n">
        <f aca="false">$O173/$O$9</f>
        <v>0.00050685184865611</v>
      </c>
      <c r="Q173" s="35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</row>
    <row r="174" customFormat="false" ht="14.25" hidden="false" customHeight="true" outlineLevel="0" collapsed="false">
      <c r="A174" s="65" t="s">
        <v>213</v>
      </c>
      <c r="B174" s="66" t="s">
        <v>69</v>
      </c>
      <c r="C174" s="66" t="n">
        <v>96385</v>
      </c>
      <c r="D174" s="67" t="s">
        <v>89</v>
      </c>
      <c r="E174" s="66" t="s">
        <v>85</v>
      </c>
      <c r="F174" s="68" t="n">
        <f aca="false">F173*0.3</f>
        <v>105</v>
      </c>
      <c r="G174" s="69" t="n">
        <f aca="false">ROUND(2.42*(1-$O$10),2)</f>
        <v>2.42</v>
      </c>
      <c r="H174" s="69" t="n">
        <f aca="false">ROUND(3.61*(1-$O$10),2)</f>
        <v>3.61</v>
      </c>
      <c r="I174" s="69" t="n">
        <f aca="false">ROUND(6.04*(1-$O$10),2)</f>
        <v>6.04</v>
      </c>
      <c r="J174" s="69" t="n">
        <f aca="false">ROUND(0*(1-$O$10),2)</f>
        <v>0</v>
      </c>
      <c r="K174" s="69" t="n">
        <f aca="false">ROUND(0*(1-$O$10),2)</f>
        <v>0</v>
      </c>
      <c r="L174" s="69" t="n">
        <f aca="false">$G174+$H174+$I174+$J174+$K174</f>
        <v>12.07</v>
      </c>
      <c r="M174" s="69" t="n">
        <f aca="false">ROUND($F174*$L174,2)</f>
        <v>1267.35</v>
      </c>
      <c r="N174" s="70" t="n">
        <f aca="false">$O$11</f>
        <v>0.2158185125</v>
      </c>
      <c r="O174" s="69" t="n">
        <f aca="false">ROUND($M174*(1+$N174),2)</f>
        <v>1540.87</v>
      </c>
      <c r="P174" s="71" t="n">
        <f aca="false">$O174/$O$9</f>
        <v>0.00426818673100197</v>
      </c>
      <c r="Q174" s="35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</row>
    <row r="175" customFormat="false" ht="14.25" hidden="false" customHeight="true" outlineLevel="0" collapsed="false">
      <c r="A175" s="65"/>
      <c r="B175" s="66"/>
      <c r="C175" s="66"/>
      <c r="D175" s="67"/>
      <c r="E175" s="66"/>
      <c r="F175" s="68"/>
      <c r="G175" s="69"/>
      <c r="H175" s="69"/>
      <c r="I175" s="69"/>
      <c r="J175" s="69"/>
      <c r="K175" s="69"/>
      <c r="L175" s="69"/>
      <c r="M175" s="69"/>
      <c r="N175" s="70"/>
      <c r="O175" s="69"/>
      <c r="P175" s="71"/>
      <c r="Q175" s="35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</row>
    <row r="176" customFormat="false" ht="14.25" hidden="false" customHeight="true" outlineLevel="0" collapsed="false">
      <c r="A176" s="80"/>
      <c r="B176" s="81"/>
      <c r="C176" s="81"/>
      <c r="D176" s="82" t="str">
        <f aca="false">CONCATENATE("SUBTOTAL ITEM: ", $D$171)</f>
        <v>SUBTOTAL ITEM: TERRAPLENAGEM</v>
      </c>
      <c r="E176" s="81"/>
      <c r="F176" s="83"/>
      <c r="G176" s="84"/>
      <c r="H176" s="84"/>
      <c r="I176" s="84"/>
      <c r="J176" s="84"/>
      <c r="K176" s="84"/>
      <c r="L176" s="84"/>
      <c r="M176" s="84" t="n">
        <f aca="false">$M171</f>
        <v>1417.85</v>
      </c>
      <c r="N176" s="85"/>
      <c r="O176" s="84" t="n">
        <f aca="false">$O171</f>
        <v>1723.85</v>
      </c>
      <c r="P176" s="86" t="n">
        <f aca="false">$P171</f>
        <v>0.00477503857965808</v>
      </c>
      <c r="Q176" s="35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</row>
    <row r="177" customFormat="false" ht="14.25" hidden="false" customHeight="true" outlineLevel="0" collapsed="false">
      <c r="A177" s="65"/>
      <c r="B177" s="66"/>
      <c r="C177" s="66"/>
      <c r="D177" s="67"/>
      <c r="E177" s="66"/>
      <c r="F177" s="68"/>
      <c r="G177" s="69"/>
      <c r="H177" s="69"/>
      <c r="I177" s="69"/>
      <c r="J177" s="69"/>
      <c r="K177" s="69"/>
      <c r="L177" s="69"/>
      <c r="M177" s="69"/>
      <c r="N177" s="70"/>
      <c r="O177" s="69"/>
      <c r="P177" s="71"/>
      <c r="Q177" s="35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</row>
    <row r="178" customFormat="false" ht="14.25" hidden="false" customHeight="true" outlineLevel="0" collapsed="false">
      <c r="A178" s="79"/>
      <c r="B178" s="73"/>
      <c r="C178" s="73"/>
      <c r="D178" s="74" t="str">
        <f aca="false">CONCATENATE("SUBTOTAL ITEM: ", $D$169)</f>
        <v>SUBTOTAL ITEM: MOVIMENTO DE TERRA – RU</v>
      </c>
      <c r="E178" s="73"/>
      <c r="F178" s="75"/>
      <c r="G178" s="76"/>
      <c r="H178" s="76"/>
      <c r="I178" s="76"/>
      <c r="J178" s="76"/>
      <c r="K178" s="76"/>
      <c r="L178" s="76"/>
      <c r="M178" s="76" t="n">
        <f aca="false">$M169</f>
        <v>1417.85</v>
      </c>
      <c r="N178" s="77"/>
      <c r="O178" s="76" t="n">
        <f aca="false">$O169</f>
        <v>1723.85</v>
      </c>
      <c r="P178" s="78" t="n">
        <f aca="false">$P169</f>
        <v>0.00477503857965808</v>
      </c>
      <c r="Q178" s="35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</row>
    <row r="179" customFormat="false" ht="14.25" hidden="false" customHeight="true" outlineLevel="0" collapsed="false">
      <c r="A179" s="65"/>
      <c r="B179" s="66"/>
      <c r="C179" s="66"/>
      <c r="D179" s="67"/>
      <c r="E179" s="66"/>
      <c r="F179" s="68"/>
      <c r="G179" s="69"/>
      <c r="H179" s="69"/>
      <c r="I179" s="69"/>
      <c r="J179" s="69"/>
      <c r="K179" s="69"/>
      <c r="L179" s="69"/>
      <c r="M179" s="69"/>
      <c r="N179" s="70"/>
      <c r="O179" s="69"/>
      <c r="P179" s="71"/>
      <c r="Q179" s="35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</row>
    <row r="180" customFormat="false" ht="14.25" hidden="false" customHeight="true" outlineLevel="0" collapsed="false">
      <c r="A180" s="72" t="s">
        <v>214</v>
      </c>
      <c r="B180" s="73"/>
      <c r="C180" s="73"/>
      <c r="D180" s="74" t="s">
        <v>215</v>
      </c>
      <c r="E180" s="73"/>
      <c r="F180" s="75"/>
      <c r="G180" s="76"/>
      <c r="H180" s="76"/>
      <c r="I180" s="76"/>
      <c r="J180" s="76"/>
      <c r="K180" s="76"/>
      <c r="L180" s="76" t="s">
        <v>49</v>
      </c>
      <c r="M180" s="76" t="n">
        <f aca="false">SUMIFS($M181:$M227, $B181:$B227, "&lt;&gt;")</f>
        <v>38104.13</v>
      </c>
      <c r="N180" s="77"/>
      <c r="O180" s="76" t="n">
        <f aca="false">SUMIFS($O181:$O227, $B181:$B227, "&lt;&gt;")</f>
        <v>46327.71</v>
      </c>
      <c r="P180" s="78" t="n">
        <f aca="false">$O180/$O$9</f>
        <v>0.12832706010222</v>
      </c>
      <c r="Q180" s="35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</row>
    <row r="181" customFormat="false" ht="14.25" hidden="false" customHeight="true" outlineLevel="0" collapsed="false">
      <c r="A181" s="94"/>
      <c r="B181" s="66"/>
      <c r="C181" s="66"/>
      <c r="D181" s="67"/>
      <c r="E181" s="66"/>
      <c r="F181" s="68"/>
      <c r="G181" s="69"/>
      <c r="H181" s="69"/>
      <c r="I181" s="69"/>
      <c r="J181" s="69"/>
      <c r="K181" s="69"/>
      <c r="L181" s="69"/>
      <c r="M181" s="69"/>
      <c r="N181" s="70"/>
      <c r="O181" s="69"/>
      <c r="P181" s="71"/>
      <c r="Q181" s="35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</row>
    <row r="182" customFormat="false" ht="14.25" hidden="false" customHeight="true" outlineLevel="0" collapsed="false">
      <c r="A182" s="95" t="s">
        <v>216</v>
      </c>
      <c r="B182" s="96"/>
      <c r="C182" s="96"/>
      <c r="D182" s="97" t="s">
        <v>95</v>
      </c>
      <c r="E182" s="96"/>
      <c r="F182" s="98"/>
      <c r="G182" s="99"/>
      <c r="H182" s="99"/>
      <c r="I182" s="99"/>
      <c r="J182" s="99"/>
      <c r="K182" s="99"/>
      <c r="L182" s="99" t="s">
        <v>49</v>
      </c>
      <c r="M182" s="99" t="n">
        <f aca="false">SUMIFS($M183:$M188, $B183:$B188, "&lt;&gt;")</f>
        <v>1186.61</v>
      </c>
      <c r="N182" s="100"/>
      <c r="O182" s="99" t="n">
        <f aca="false">SUMIFS($O183:$O188, $B183:$B188, "&lt;&gt;")</f>
        <v>1442.7</v>
      </c>
      <c r="P182" s="101" t="n">
        <f aca="false">$O182/$O$9</f>
        <v>0.00399625730711646</v>
      </c>
      <c r="Q182" s="35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</row>
    <row r="183" customFormat="false" ht="14.25" hidden="false" customHeight="true" outlineLevel="0" collapsed="false">
      <c r="A183" s="102"/>
      <c r="B183" s="103"/>
      <c r="C183" s="103"/>
      <c r="D183" s="104"/>
      <c r="E183" s="103"/>
      <c r="F183" s="105"/>
      <c r="G183" s="106"/>
      <c r="H183" s="106"/>
      <c r="I183" s="106"/>
      <c r="J183" s="106"/>
      <c r="K183" s="106"/>
      <c r="L183" s="106"/>
      <c r="M183" s="106"/>
      <c r="N183" s="107"/>
      <c r="O183" s="106"/>
      <c r="P183" s="108"/>
      <c r="Q183" s="35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</row>
    <row r="184" customFormat="false" ht="14.25" hidden="false" customHeight="true" outlineLevel="0" collapsed="false">
      <c r="A184" s="65" t="s">
        <v>217</v>
      </c>
      <c r="B184" s="66" t="s">
        <v>69</v>
      </c>
      <c r="C184" s="66" t="n">
        <v>90105</v>
      </c>
      <c r="D184" s="67" t="s">
        <v>97</v>
      </c>
      <c r="E184" s="66" t="s">
        <v>85</v>
      </c>
      <c r="F184" s="68" t="n">
        <f aca="false">0.4*0.8*1.5</f>
        <v>0.48</v>
      </c>
      <c r="G184" s="69" t="n">
        <f aca="false">ROUND(2.3*(1-$O$10),2)</f>
        <v>2.3</v>
      </c>
      <c r="H184" s="69" t="n">
        <f aca="false">ROUND(3.2*(1-$O$10),2)</f>
        <v>3.2</v>
      </c>
      <c r="I184" s="69" t="n">
        <f aca="false">ROUND(3.04*(1-$O$10),2)</f>
        <v>3.04</v>
      </c>
      <c r="J184" s="69" t="n">
        <f aca="false">ROUND(0*(1-$O$10),2)</f>
        <v>0</v>
      </c>
      <c r="K184" s="69" t="n">
        <f aca="false">ROUND(0*(1-$O$10),2)</f>
        <v>0</v>
      </c>
      <c r="L184" s="69" t="n">
        <f aca="false">$G184+$H184+$I184+$J184+$K184</f>
        <v>8.54</v>
      </c>
      <c r="M184" s="69" t="n">
        <f aca="false">ROUND($F184*$L184,2)</f>
        <v>4.1</v>
      </c>
      <c r="N184" s="70" t="n">
        <f aca="false">$O$11</f>
        <v>0.2158185125</v>
      </c>
      <c r="O184" s="69" t="n">
        <f aca="false">ROUND($M184*(1+$N184),2)</f>
        <v>4.98</v>
      </c>
      <c r="P184" s="71" t="n">
        <f aca="false">$O184/$O$9</f>
        <v>1.37945251191793E-005</v>
      </c>
      <c r="Q184" s="35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</row>
    <row r="185" customFormat="false" ht="14.25" hidden="false" customHeight="true" outlineLevel="0" collapsed="false">
      <c r="A185" s="65" t="s">
        <v>218</v>
      </c>
      <c r="B185" s="66" t="s">
        <v>69</v>
      </c>
      <c r="C185" s="66" t="n">
        <v>93378</v>
      </c>
      <c r="D185" s="67" t="s">
        <v>99</v>
      </c>
      <c r="E185" s="66" t="s">
        <v>85</v>
      </c>
      <c r="F185" s="68" t="n">
        <f aca="false">F184*0.5</f>
        <v>0.24</v>
      </c>
      <c r="G185" s="69" t="n">
        <f aca="false">ROUND(7.49*(1-$O$10),2)</f>
        <v>7.49</v>
      </c>
      <c r="H185" s="69" t="n">
        <f aca="false">ROUND(14.11*(1-$O$10),2)</f>
        <v>14.11</v>
      </c>
      <c r="I185" s="69" t="n">
        <f aca="false">ROUND(5.07*(1-$O$10),2)</f>
        <v>5.07</v>
      </c>
      <c r="J185" s="69" t="n">
        <f aca="false">ROUND(0*(1-$O$10),2)</f>
        <v>0</v>
      </c>
      <c r="K185" s="69" t="n">
        <f aca="false">ROUND(0*(1-$O$10),2)</f>
        <v>0</v>
      </c>
      <c r="L185" s="69" t="n">
        <f aca="false">$G185+$H185+$I185+$J185+$K185</f>
        <v>26.67</v>
      </c>
      <c r="M185" s="69" t="n">
        <f aca="false">ROUND($F185*$L185,2)</f>
        <v>6.4</v>
      </c>
      <c r="N185" s="70" t="n">
        <f aca="false">$O$11</f>
        <v>0.2158185125</v>
      </c>
      <c r="O185" s="69" t="n">
        <f aca="false">ROUND($M185*(1+$N185),2)</f>
        <v>7.78</v>
      </c>
      <c r="P185" s="71" t="n">
        <f aca="false">$O185/$O$9</f>
        <v>2.1550483017513E-005</v>
      </c>
      <c r="Q185" s="35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</row>
    <row r="186" customFormat="false" ht="14.25" hidden="false" customHeight="true" outlineLevel="0" collapsed="false">
      <c r="A186" s="65" t="s">
        <v>219</v>
      </c>
      <c r="B186" s="66" t="s">
        <v>51</v>
      </c>
      <c r="C186" s="66" t="s">
        <v>101</v>
      </c>
      <c r="D186" s="67" t="s">
        <v>102</v>
      </c>
      <c r="E186" s="66" t="s">
        <v>54</v>
      </c>
      <c r="F186" s="68" t="n">
        <v>1</v>
      </c>
      <c r="G186" s="69" t="n">
        <f aca="false">ROUND(645.99*(1-$O$10),2)</f>
        <v>645.99</v>
      </c>
      <c r="H186" s="69" t="n">
        <f aca="false">ROUND(364.75*(1-$O$10),2)</f>
        <v>364.75</v>
      </c>
      <c r="I186" s="69" t="n">
        <f aca="false">ROUND(0.69*(1-$O$10),2)</f>
        <v>0.69</v>
      </c>
      <c r="J186" s="69" t="n">
        <f aca="false">ROUND(0*(1-$O$10),2)</f>
        <v>0</v>
      </c>
      <c r="K186" s="69" t="n">
        <f aca="false">ROUND(0.48*(1-$O$10),2)</f>
        <v>0.48</v>
      </c>
      <c r="L186" s="69" t="n">
        <f aca="false">$G186+$H186+$I186+$J186+$K186</f>
        <v>1011.91</v>
      </c>
      <c r="M186" s="69" t="n">
        <f aca="false">ROUND($F186*$L186,2)</f>
        <v>1011.91</v>
      </c>
      <c r="N186" s="70" t="n">
        <f aca="false">$O$11</f>
        <v>0.2158185125</v>
      </c>
      <c r="O186" s="69" t="n">
        <f aca="false">ROUND($M186*(1+$N186),2)</f>
        <v>1230.3</v>
      </c>
      <c r="P186" s="71" t="n">
        <f aca="false">$O186/$O$9</f>
        <v>0.00340791250082857</v>
      </c>
      <c r="Q186" s="35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</row>
    <row r="187" customFormat="false" ht="14.25" hidden="false" customHeight="true" outlineLevel="0" collapsed="false">
      <c r="A187" s="65" t="s">
        <v>220</v>
      </c>
      <c r="B187" s="66" t="s">
        <v>51</v>
      </c>
      <c r="C187" s="66" t="s">
        <v>104</v>
      </c>
      <c r="D187" s="67" t="s">
        <v>105</v>
      </c>
      <c r="E187" s="66" t="s">
        <v>106</v>
      </c>
      <c r="F187" s="68" t="n">
        <v>1</v>
      </c>
      <c r="G187" s="69" t="n">
        <f aca="false">ROUND(128.22*(1-$O$10),2)</f>
        <v>128.22</v>
      </c>
      <c r="H187" s="69" t="n">
        <f aca="false">ROUND(35.98*(1-$O$10),2)</f>
        <v>35.98</v>
      </c>
      <c r="I187" s="69" t="n">
        <f aca="false">ROUND(0*(1-$O$10),2)</f>
        <v>0</v>
      </c>
      <c r="J187" s="69" t="n">
        <f aca="false">ROUND(0*(1-$O$10),2)</f>
        <v>0</v>
      </c>
      <c r="K187" s="69" t="n">
        <f aca="false">ROUND(0*(1-$O$10),2)</f>
        <v>0</v>
      </c>
      <c r="L187" s="69" t="n">
        <f aca="false">$G187+$H187+$I187+$J187+$K187</f>
        <v>164.2</v>
      </c>
      <c r="M187" s="69" t="n">
        <f aca="false">ROUND($F187*$L187,2)</f>
        <v>164.2</v>
      </c>
      <c r="N187" s="70" t="n">
        <f aca="false">$O$11</f>
        <v>0.2158185125</v>
      </c>
      <c r="O187" s="69" t="n">
        <f aca="false">ROUND($M187*(1+$N187),2)</f>
        <v>199.64</v>
      </c>
      <c r="P187" s="71" t="n">
        <f aca="false">$O187/$O$9</f>
        <v>0.000552999798151195</v>
      </c>
      <c r="Q187" s="35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</row>
    <row r="188" customFormat="false" ht="14.25" hidden="false" customHeight="true" outlineLevel="0" collapsed="false">
      <c r="A188" s="102"/>
      <c r="B188" s="103"/>
      <c r="C188" s="103"/>
      <c r="D188" s="104"/>
      <c r="E188" s="103"/>
      <c r="F188" s="105"/>
      <c r="G188" s="106"/>
      <c r="H188" s="106"/>
      <c r="I188" s="106"/>
      <c r="J188" s="106"/>
      <c r="K188" s="106"/>
      <c r="L188" s="106"/>
      <c r="M188" s="106"/>
      <c r="N188" s="107"/>
      <c r="O188" s="106"/>
      <c r="P188" s="108"/>
      <c r="Q188" s="35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</row>
    <row r="189" customFormat="false" ht="14.25" hidden="false" customHeight="true" outlineLevel="0" collapsed="false">
      <c r="A189" s="95"/>
      <c r="B189" s="96"/>
      <c r="C189" s="96"/>
      <c r="D189" s="97" t="str">
        <f aca="false">CONCATENATE("SUBTOTAL ITEM: ", $D$182)</f>
        <v>SUBTOTAL ITEM: DRENAGEM</v>
      </c>
      <c r="E189" s="96"/>
      <c r="F189" s="98"/>
      <c r="G189" s="99"/>
      <c r="H189" s="99"/>
      <c r="I189" s="99"/>
      <c r="J189" s="99"/>
      <c r="K189" s="99"/>
      <c r="L189" s="99"/>
      <c r="M189" s="99" t="n">
        <f aca="false">$M182</f>
        <v>1186.61</v>
      </c>
      <c r="N189" s="100"/>
      <c r="O189" s="99" t="n">
        <f aca="false">$O182</f>
        <v>1442.7</v>
      </c>
      <c r="P189" s="101" t="n">
        <f aca="false">$P182</f>
        <v>0.00399625730711646</v>
      </c>
      <c r="Q189" s="35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</row>
    <row r="190" customFormat="false" ht="14.25" hidden="false" customHeight="true" outlineLevel="0" collapsed="false">
      <c r="A190" s="65"/>
      <c r="B190" s="66"/>
      <c r="C190" s="66"/>
      <c r="D190" s="67"/>
      <c r="E190" s="66"/>
      <c r="F190" s="68"/>
      <c r="G190" s="69"/>
      <c r="H190" s="69"/>
      <c r="I190" s="69"/>
      <c r="J190" s="69"/>
      <c r="K190" s="69"/>
      <c r="L190" s="69"/>
      <c r="M190" s="69"/>
      <c r="N190" s="70"/>
      <c r="O190" s="69"/>
      <c r="P190" s="71"/>
      <c r="Q190" s="35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</row>
    <row r="191" customFormat="false" ht="14.25" hidden="false" customHeight="true" outlineLevel="0" collapsed="false">
      <c r="A191" s="80" t="s">
        <v>221</v>
      </c>
      <c r="B191" s="81"/>
      <c r="C191" s="81"/>
      <c r="D191" s="82" t="s">
        <v>108</v>
      </c>
      <c r="E191" s="81"/>
      <c r="F191" s="83"/>
      <c r="G191" s="84"/>
      <c r="H191" s="84"/>
      <c r="I191" s="84"/>
      <c r="J191" s="84"/>
      <c r="K191" s="84"/>
      <c r="L191" s="84" t="s">
        <v>49</v>
      </c>
      <c r="M191" s="84" t="n">
        <f aca="false">SUMIFS($M192:$M207, $B192:$B207, "&lt;&gt;")</f>
        <v>33181.52</v>
      </c>
      <c r="N191" s="85"/>
      <c r="O191" s="84" t="n">
        <f aca="false">SUMIFS($O192:$O207, $B192:$B207, "&lt;&gt;")</f>
        <v>40342.72</v>
      </c>
      <c r="P191" s="86" t="n">
        <f aca="false">$O191/$O$9</f>
        <v>0.111748727794381</v>
      </c>
      <c r="Q191" s="35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</row>
    <row r="192" customFormat="false" ht="14.25" hidden="false" customHeight="true" outlineLevel="0" collapsed="false">
      <c r="A192" s="65"/>
      <c r="B192" s="66"/>
      <c r="C192" s="66"/>
      <c r="D192" s="67"/>
      <c r="E192" s="66"/>
      <c r="F192" s="68"/>
      <c r="G192" s="69"/>
      <c r="H192" s="69"/>
      <c r="I192" s="69"/>
      <c r="J192" s="69"/>
      <c r="K192" s="69"/>
      <c r="L192" s="69"/>
      <c r="M192" s="69"/>
      <c r="N192" s="70"/>
      <c r="O192" s="69"/>
      <c r="P192" s="71"/>
      <c r="Q192" s="35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</row>
    <row r="193" customFormat="false" ht="14.25" hidden="false" customHeight="true" outlineLevel="0" collapsed="false">
      <c r="A193" s="65" t="s">
        <v>222</v>
      </c>
      <c r="B193" s="66" t="s">
        <v>69</v>
      </c>
      <c r="C193" s="66" t="n">
        <v>100576</v>
      </c>
      <c r="D193" s="67" t="s">
        <v>110</v>
      </c>
      <c r="E193" s="66" t="s">
        <v>62</v>
      </c>
      <c r="F193" s="68" t="n">
        <f aca="false">194.03+F199+F203+F204</f>
        <v>259.64</v>
      </c>
      <c r="G193" s="69" t="n">
        <f aca="false">ROUND(0.41*(1-$O$10),2)</f>
        <v>0.41</v>
      </c>
      <c r="H193" s="69" t="n">
        <f aca="false">ROUND(0.9*(1-$O$10),2)</f>
        <v>0.9</v>
      </c>
      <c r="I193" s="69" t="n">
        <f aca="false">ROUND(1.32*(1-$O$10),2)</f>
        <v>1.32</v>
      </c>
      <c r="J193" s="69" t="n">
        <f aca="false">ROUND(0*(1-$O$10),2)</f>
        <v>0</v>
      </c>
      <c r="K193" s="69" t="n">
        <f aca="false">ROUND(0*(1-$O$10),2)</f>
        <v>0</v>
      </c>
      <c r="L193" s="69" t="n">
        <f aca="false">$G193+$H193+$I193+$J193+$K193</f>
        <v>2.63</v>
      </c>
      <c r="M193" s="69" t="n">
        <f aca="false">ROUND($F193*$L193,2)</f>
        <v>682.85</v>
      </c>
      <c r="N193" s="70" t="n">
        <f aca="false">$O$11</f>
        <v>0.2158185125</v>
      </c>
      <c r="O193" s="69" t="n">
        <f aca="false">ROUND($M193*(1+$N193),2)</f>
        <v>830.22</v>
      </c>
      <c r="P193" s="71" t="n">
        <f aca="false">$O193/$O$9</f>
        <v>0.00229969691655523</v>
      </c>
      <c r="Q193" s="35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</row>
    <row r="194" customFormat="false" ht="14.25" hidden="false" customHeight="true" outlineLevel="0" collapsed="false">
      <c r="A194" s="65" t="s">
        <v>223</v>
      </c>
      <c r="B194" s="66" t="s">
        <v>69</v>
      </c>
      <c r="C194" s="66" t="n">
        <v>96400</v>
      </c>
      <c r="D194" s="67" t="s">
        <v>112</v>
      </c>
      <c r="E194" s="66" t="s">
        <v>85</v>
      </c>
      <c r="F194" s="68" t="n">
        <f aca="false">F193*0.15</f>
        <v>38.946</v>
      </c>
      <c r="G194" s="69" t="n">
        <f aca="false">ROUND(90.46*(1-$O$10),2)</f>
        <v>90.46</v>
      </c>
      <c r="H194" s="69" t="n">
        <f aca="false">ROUND(6.12*(1-$O$10),2)</f>
        <v>6.12</v>
      </c>
      <c r="I194" s="69" t="n">
        <f aca="false">ROUND(12.45*(1-$O$10),2)</f>
        <v>12.45</v>
      </c>
      <c r="J194" s="69" t="n">
        <f aca="false">ROUND(0*(1-$O$10),2)</f>
        <v>0</v>
      </c>
      <c r="K194" s="69" t="n">
        <f aca="false">ROUND(0*(1-$O$10),2)</f>
        <v>0</v>
      </c>
      <c r="L194" s="69" t="n">
        <f aca="false">$G194+$H194+$I194+$J194+$K194</f>
        <v>109.03</v>
      </c>
      <c r="M194" s="69" t="n">
        <f aca="false">ROUND($F194*$L194,2)</f>
        <v>4246.28</v>
      </c>
      <c r="N194" s="70" t="n">
        <f aca="false">$O$11</f>
        <v>0.2158185125</v>
      </c>
      <c r="O194" s="69" t="n">
        <f aca="false">ROUND($M194*(1+$N194),2)</f>
        <v>5162.71</v>
      </c>
      <c r="P194" s="71" t="n">
        <f aca="false">$O194/$O$9</f>
        <v>0.0143006290718952</v>
      </c>
      <c r="Q194" s="35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</row>
    <row r="195" customFormat="false" ht="14.25" hidden="false" customHeight="true" outlineLevel="0" collapsed="false">
      <c r="A195" s="65" t="s">
        <v>224</v>
      </c>
      <c r="B195" s="66" t="s">
        <v>69</v>
      </c>
      <c r="C195" s="66" t="n">
        <v>96396</v>
      </c>
      <c r="D195" s="67" t="s">
        <v>114</v>
      </c>
      <c r="E195" s="66" t="s">
        <v>85</v>
      </c>
      <c r="F195" s="68" t="n">
        <f aca="false">F193*0.1</f>
        <v>25.964</v>
      </c>
      <c r="G195" s="69" t="n">
        <f aca="false">ROUND(104.33*(1-$O$10),2)</f>
        <v>104.33</v>
      </c>
      <c r="H195" s="69" t="n">
        <f aca="false">ROUND(5.08*(1-$O$10),2)</f>
        <v>5.08</v>
      </c>
      <c r="I195" s="69" t="n">
        <f aca="false">ROUND(10.1*(1-$O$10),2)</f>
        <v>10.1</v>
      </c>
      <c r="J195" s="69" t="n">
        <f aca="false">ROUND(0*(1-$O$10),2)</f>
        <v>0</v>
      </c>
      <c r="K195" s="69" t="n">
        <f aca="false">ROUND(0.28*(1-$O$10),2)</f>
        <v>0.28</v>
      </c>
      <c r="L195" s="69" t="n">
        <f aca="false">$G195+$H195+$I195+$J195+$K195</f>
        <v>119.79</v>
      </c>
      <c r="M195" s="69" t="n">
        <f aca="false">ROUND($F195*$L195,2)</f>
        <v>3110.23</v>
      </c>
      <c r="N195" s="70" t="n">
        <f aca="false">$O$11</f>
        <v>0.2158185125</v>
      </c>
      <c r="O195" s="69" t="n">
        <f aca="false">ROUND($M195*(1+$N195),2)</f>
        <v>3781.48</v>
      </c>
      <c r="P195" s="71" t="n">
        <f aca="false">$O195/$O$9</f>
        <v>0.0104746427404968</v>
      </c>
      <c r="Q195" s="35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</row>
    <row r="196" customFormat="false" ht="14.25" hidden="false" customHeight="true" outlineLevel="0" collapsed="false">
      <c r="A196" s="65" t="s">
        <v>225</v>
      </c>
      <c r="B196" s="66" t="s">
        <v>69</v>
      </c>
      <c r="C196" s="66" t="n">
        <v>94273</v>
      </c>
      <c r="D196" s="67" t="s">
        <v>116</v>
      </c>
      <c r="E196" s="66" t="s">
        <v>106</v>
      </c>
      <c r="F196" s="68" t="n">
        <f aca="false">70.66</f>
        <v>70.66</v>
      </c>
      <c r="G196" s="69" t="n">
        <f aca="false">ROUND(33.11*(1-$O$10),2)</f>
        <v>33.11</v>
      </c>
      <c r="H196" s="69" t="n">
        <f aca="false">ROUND(16.89*(1-$O$10),2)</f>
        <v>16.89</v>
      </c>
      <c r="I196" s="69" t="n">
        <f aca="false">ROUND(0*(1-$O$10),2)</f>
        <v>0</v>
      </c>
      <c r="J196" s="69" t="n">
        <f aca="false">ROUND(0*(1-$O$10),2)</f>
        <v>0</v>
      </c>
      <c r="K196" s="69" t="n">
        <f aca="false">ROUND(0*(1-$O$10),2)</f>
        <v>0</v>
      </c>
      <c r="L196" s="69" t="n">
        <f aca="false">$G196+$H196+$I196+$J196+$K196</f>
        <v>50</v>
      </c>
      <c r="M196" s="69" t="n">
        <f aca="false">ROUND($F196*$L196,2)</f>
        <v>3533</v>
      </c>
      <c r="N196" s="70" t="n">
        <f aca="false">$O$11</f>
        <v>0.2158185125</v>
      </c>
      <c r="O196" s="69" t="n">
        <f aca="false">ROUND($M196*(1+$N196),2)</f>
        <v>4295.49</v>
      </c>
      <c r="P196" s="71" t="n">
        <f aca="false">$O196/$O$9</f>
        <v>0.0118984427116834</v>
      </c>
      <c r="Q196" s="35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</row>
    <row r="197" customFormat="false" ht="14.25" hidden="false" customHeight="true" outlineLevel="0" collapsed="false">
      <c r="A197" s="65" t="s">
        <v>226</v>
      </c>
      <c r="B197" s="66" t="s">
        <v>69</v>
      </c>
      <c r="C197" s="66" t="n">
        <v>92398</v>
      </c>
      <c r="D197" s="67" t="s">
        <v>227</v>
      </c>
      <c r="E197" s="66" t="s">
        <v>62</v>
      </c>
      <c r="F197" s="68" t="n">
        <f aca="false">194.03</f>
        <v>194.03</v>
      </c>
      <c r="G197" s="69" t="n">
        <f aca="false">ROUND(59.54*(1-$O$10),2)</f>
        <v>59.54</v>
      </c>
      <c r="H197" s="69" t="n">
        <f aca="false">ROUND(10.03*(1-$O$10),2)</f>
        <v>10.03</v>
      </c>
      <c r="I197" s="69" t="n">
        <f aca="false">ROUND(0.17*(1-$O$10),2)</f>
        <v>0.17</v>
      </c>
      <c r="J197" s="69" t="n">
        <f aca="false">ROUND(0*(1-$O$10),2)</f>
        <v>0</v>
      </c>
      <c r="K197" s="69" t="n">
        <f aca="false">ROUND(0*(1-$O$10),2)</f>
        <v>0</v>
      </c>
      <c r="L197" s="69" t="n">
        <f aca="false">$G197+$H197+$I197+$J197+$K197</f>
        <v>69.74</v>
      </c>
      <c r="M197" s="69" t="n">
        <f aca="false">ROUND($F197*$L197,2)</f>
        <v>13531.65</v>
      </c>
      <c r="N197" s="70" t="n">
        <f aca="false">$O$11</f>
        <v>0.2158185125</v>
      </c>
      <c r="O197" s="69" t="n">
        <f aca="false">ROUND($M197*(1+$N197),2)</f>
        <v>16452.03</v>
      </c>
      <c r="P197" s="71" t="n">
        <f aca="false">$O197/$O$9</f>
        <v>0.045571875722187</v>
      </c>
      <c r="Q197" s="35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</row>
    <row r="198" customFormat="false" ht="14.25" hidden="false" customHeight="true" outlineLevel="0" collapsed="false">
      <c r="A198" s="65" t="s">
        <v>228</v>
      </c>
      <c r="B198" s="66" t="s">
        <v>69</v>
      </c>
      <c r="C198" s="66" t="n">
        <v>97086</v>
      </c>
      <c r="D198" s="67" t="s">
        <v>121</v>
      </c>
      <c r="E198" s="66" t="s">
        <v>62</v>
      </c>
      <c r="F198" s="68" t="n">
        <v>1.66</v>
      </c>
      <c r="G198" s="69" t="n">
        <f aca="false">ROUND(66.35*(1-$O$10),2)</f>
        <v>66.35</v>
      </c>
      <c r="H198" s="69" t="n">
        <f aca="false">ROUND(84.72*(1-$O$10),2)</f>
        <v>84.72</v>
      </c>
      <c r="I198" s="69" t="n">
        <f aca="false">ROUND(0*(1-$O$10),2)</f>
        <v>0</v>
      </c>
      <c r="J198" s="69" t="n">
        <f aca="false">ROUND(0*(1-$O$10),2)</f>
        <v>0</v>
      </c>
      <c r="K198" s="69" t="n">
        <f aca="false">ROUND(0*(1-$O$10),2)</f>
        <v>0</v>
      </c>
      <c r="L198" s="69" t="n">
        <f aca="false">$G198+$H198+$I198+$J198+$K198</f>
        <v>151.07</v>
      </c>
      <c r="M198" s="69" t="n">
        <f aca="false">ROUND($F198*$L198,2)</f>
        <v>250.78</v>
      </c>
      <c r="N198" s="70" t="n">
        <f aca="false">$O$11</f>
        <v>0.2158185125</v>
      </c>
      <c r="O198" s="69" t="n">
        <f aca="false">ROUND($M198*(1+$N198),2)</f>
        <v>304.9</v>
      </c>
      <c r="P198" s="71" t="n">
        <f aca="false">$O198/$O$9</f>
        <v>0.00084456841542927</v>
      </c>
      <c r="Q198" s="35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</row>
    <row r="199" customFormat="false" ht="14.25" hidden="false" customHeight="true" outlineLevel="0" collapsed="false">
      <c r="A199" s="65" t="s">
        <v>229</v>
      </c>
      <c r="B199" s="66" t="s">
        <v>51</v>
      </c>
      <c r="C199" s="66" t="s">
        <v>123</v>
      </c>
      <c r="D199" s="67" t="s">
        <v>124</v>
      </c>
      <c r="E199" s="66" t="s">
        <v>62</v>
      </c>
      <c r="F199" s="68" t="n">
        <v>40.05</v>
      </c>
      <c r="G199" s="69" t="n">
        <f aca="false">ROUND(3.17*(1-$O$10),2)</f>
        <v>3.17</v>
      </c>
      <c r="H199" s="69" t="n">
        <f aca="false">ROUND(4.94*(1-$O$10),2)</f>
        <v>4.94</v>
      </c>
      <c r="I199" s="69" t="n">
        <f aca="false">ROUND(0*(1-$O$10),2)</f>
        <v>0</v>
      </c>
      <c r="J199" s="69" t="n">
        <f aca="false">ROUND(0*(1-$O$10),2)</f>
        <v>0</v>
      </c>
      <c r="K199" s="69" t="n">
        <f aca="false">ROUND(0*(1-$O$10),2)</f>
        <v>0</v>
      </c>
      <c r="L199" s="69" t="n">
        <f aca="false">$G199+$H199+$I199+$J199+$K199</f>
        <v>8.11</v>
      </c>
      <c r="M199" s="69" t="n">
        <f aca="false">ROUND($F199*$L199,2)</f>
        <v>324.81</v>
      </c>
      <c r="N199" s="70" t="n">
        <f aca="false">$O$11</f>
        <v>0.2158185125</v>
      </c>
      <c r="O199" s="69" t="n">
        <f aca="false">ROUND($M199*(1+$N199),2)</f>
        <v>394.91</v>
      </c>
      <c r="P199" s="71" t="n">
        <f aca="false">$O199/$O$9</f>
        <v>0.00109389476201106</v>
      </c>
      <c r="Q199" s="35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</row>
    <row r="200" customFormat="false" ht="14.25" hidden="false" customHeight="true" outlineLevel="0" collapsed="false">
      <c r="A200" s="65" t="s">
        <v>230</v>
      </c>
      <c r="B200" s="66" t="s">
        <v>69</v>
      </c>
      <c r="C200" s="66" t="n">
        <v>97090</v>
      </c>
      <c r="D200" s="67" t="s">
        <v>126</v>
      </c>
      <c r="E200" s="66" t="s">
        <v>127</v>
      </c>
      <c r="F200" s="68" t="n">
        <f aca="false">2.2*F199</f>
        <v>88.11</v>
      </c>
      <c r="G200" s="69" t="n">
        <f aca="false">ROUND(13.56*(1-$O$10),2)</f>
        <v>13.56</v>
      </c>
      <c r="H200" s="69" t="n">
        <f aca="false">ROUND(0.92*(1-$O$10),2)</f>
        <v>0.92</v>
      </c>
      <c r="I200" s="69" t="n">
        <f aca="false">ROUND(0*(1-$O$10),2)</f>
        <v>0</v>
      </c>
      <c r="J200" s="69" t="n">
        <f aca="false">ROUND(0*(1-$O$10),2)</f>
        <v>0</v>
      </c>
      <c r="K200" s="69" t="n">
        <f aca="false">ROUND(0*(1-$O$10),2)</f>
        <v>0</v>
      </c>
      <c r="L200" s="69" t="n">
        <f aca="false">$G200+$H200+$I200+$J200+$K200</f>
        <v>14.48</v>
      </c>
      <c r="M200" s="69" t="n">
        <f aca="false">ROUND($F200*$L200,2)</f>
        <v>1275.83</v>
      </c>
      <c r="N200" s="70" t="n">
        <f aca="false">$O$11</f>
        <v>0.2158185125</v>
      </c>
      <c r="O200" s="69" t="n">
        <f aca="false">ROUND($M200*(1+$N200),2)</f>
        <v>1551.18</v>
      </c>
      <c r="P200" s="71" t="n">
        <f aca="false">$O200/$O$9</f>
        <v>0.00429674527597762</v>
      </c>
      <c r="Q200" s="35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</row>
    <row r="201" customFormat="false" ht="14.25" hidden="false" customHeight="true" outlineLevel="0" collapsed="false">
      <c r="A201" s="65" t="s">
        <v>231</v>
      </c>
      <c r="B201" s="66" t="s">
        <v>51</v>
      </c>
      <c r="C201" s="66" t="s">
        <v>129</v>
      </c>
      <c r="D201" s="67" t="s">
        <v>130</v>
      </c>
      <c r="E201" s="66" t="s">
        <v>62</v>
      </c>
      <c r="F201" s="68" t="n">
        <v>40.05</v>
      </c>
      <c r="G201" s="69" t="n">
        <f aca="false">ROUND(62.45*(1-$O$10),2)</f>
        <v>62.45</v>
      </c>
      <c r="H201" s="69" t="n">
        <f aca="false">ROUND(25.79*(1-$O$10),2)</f>
        <v>25.79</v>
      </c>
      <c r="I201" s="69" t="n">
        <f aca="false">ROUND(0.72*(1-$O$10),2)</f>
        <v>0.72</v>
      </c>
      <c r="J201" s="69" t="n">
        <f aca="false">ROUND(0*(1-$O$10),2)</f>
        <v>0</v>
      </c>
      <c r="K201" s="69" t="n">
        <f aca="false">ROUND(1.42*(1-$O$10),2)</f>
        <v>1.42</v>
      </c>
      <c r="L201" s="69" t="n">
        <f aca="false">$G201+$H201+$I201+$J201+$K201</f>
        <v>90.38</v>
      </c>
      <c r="M201" s="69" t="n">
        <f aca="false">ROUND($F201*$L201,2)</f>
        <v>3619.72</v>
      </c>
      <c r="N201" s="70" t="n">
        <f aca="false">$O$11</f>
        <v>0.2158185125</v>
      </c>
      <c r="O201" s="69" t="n">
        <f aca="false">ROUND($M201*(1+$N201),2)</f>
        <v>4400.92</v>
      </c>
      <c r="P201" s="71" t="n">
        <f aca="false">$O201/$O$9</f>
        <v>0.0121904822264053</v>
      </c>
      <c r="Q201" s="35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</row>
    <row r="202" customFormat="false" ht="14.25" hidden="false" customHeight="true" outlineLevel="0" collapsed="false">
      <c r="A202" s="65" t="s">
        <v>232</v>
      </c>
      <c r="B202" s="66" t="s">
        <v>69</v>
      </c>
      <c r="C202" s="66" t="n">
        <v>97114</v>
      </c>
      <c r="D202" s="67" t="s">
        <v>134</v>
      </c>
      <c r="E202" s="66" t="s">
        <v>106</v>
      </c>
      <c r="F202" s="68" t="n">
        <v>5.1</v>
      </c>
      <c r="G202" s="69" t="n">
        <f aca="false">ROUND(0.07*(1-$O$10),2)</f>
        <v>0.07</v>
      </c>
      <c r="H202" s="69" t="n">
        <f aca="false">ROUND(0.37*(1-$O$10),2)</f>
        <v>0.37</v>
      </c>
      <c r="I202" s="69" t="n">
        <f aca="false">ROUND(0*(1-$O$10),2)</f>
        <v>0</v>
      </c>
      <c r="J202" s="69" t="n">
        <f aca="false">ROUND(0*(1-$O$10),2)</f>
        <v>0</v>
      </c>
      <c r="K202" s="69" t="n">
        <f aca="false">ROUND(0*(1-$O$10),2)</f>
        <v>0</v>
      </c>
      <c r="L202" s="69" t="n">
        <f aca="false">$G202+$H202+$I202+$J202+$K202</f>
        <v>0.44</v>
      </c>
      <c r="M202" s="69" t="n">
        <f aca="false">ROUND($F202*$L202,2)</f>
        <v>2.24</v>
      </c>
      <c r="N202" s="70" t="n">
        <f aca="false">$O$11</f>
        <v>0.2158185125</v>
      </c>
      <c r="O202" s="69" t="n">
        <f aca="false">ROUND($M202*(1+$N202),2)</f>
        <v>2.72</v>
      </c>
      <c r="P202" s="71" t="n">
        <f aca="false">$O202/$O$9</f>
        <v>7.53435910123849E-006</v>
      </c>
      <c r="Q202" s="35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</row>
    <row r="203" customFormat="false" ht="14.25" hidden="false" customHeight="true" outlineLevel="0" collapsed="false">
      <c r="A203" s="65" t="s">
        <v>233</v>
      </c>
      <c r="B203" s="66" t="s">
        <v>69</v>
      </c>
      <c r="C203" s="66" t="n">
        <v>92396</v>
      </c>
      <c r="D203" s="67" t="s">
        <v>234</v>
      </c>
      <c r="E203" s="66" t="s">
        <v>62</v>
      </c>
      <c r="F203" s="68" t="n">
        <v>21.08</v>
      </c>
      <c r="G203" s="69" t="n">
        <f aca="false">ROUND(52.55*(1-$O$10),2)</f>
        <v>52.55</v>
      </c>
      <c r="H203" s="69" t="n">
        <f aca="false">ROUND(14.2*(1-$O$10),2)</f>
        <v>14.2</v>
      </c>
      <c r="I203" s="69" t="n">
        <f aca="false">ROUND(0.31*(1-$O$10),2)</f>
        <v>0.31</v>
      </c>
      <c r="J203" s="69" t="n">
        <f aca="false">ROUND(0*(1-$O$10),2)</f>
        <v>0</v>
      </c>
      <c r="K203" s="69" t="n">
        <f aca="false">ROUND(0*(1-$O$10),2)</f>
        <v>0</v>
      </c>
      <c r="L203" s="69" t="n">
        <f aca="false">$G203+$H203+$I203+$J203+$K203</f>
        <v>67.06</v>
      </c>
      <c r="M203" s="69" t="n">
        <f aca="false">ROUND($F203*$L203,2)</f>
        <v>1413.62</v>
      </c>
      <c r="N203" s="70" t="n">
        <f aca="false">$O$11</f>
        <v>0.2158185125</v>
      </c>
      <c r="O203" s="69" t="n">
        <f aca="false">ROUND($M203*(1+$N203),2)</f>
        <v>1718.71</v>
      </c>
      <c r="P203" s="71" t="n">
        <f aca="false">$O203/$O$9</f>
        <v>0.00476080085694471</v>
      </c>
      <c r="Q203" s="35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</row>
    <row r="204" customFormat="false" ht="14.25" hidden="false" customHeight="true" outlineLevel="0" collapsed="false">
      <c r="A204" s="65" t="s">
        <v>235</v>
      </c>
      <c r="B204" s="66" t="s">
        <v>51</v>
      </c>
      <c r="C204" s="66" t="s">
        <v>191</v>
      </c>
      <c r="D204" s="67" t="s">
        <v>192</v>
      </c>
      <c r="E204" s="66" t="s">
        <v>62</v>
      </c>
      <c r="F204" s="68" t="n">
        <f aca="false">112*0.2*0.2</f>
        <v>4.48</v>
      </c>
      <c r="G204" s="69" t="n">
        <f aca="false">ROUND(102.19*(1-$O$10),2)</f>
        <v>102.19</v>
      </c>
      <c r="H204" s="69" t="n">
        <f aca="false">ROUND(15.17*(1-$O$10),2)</f>
        <v>15.17</v>
      </c>
      <c r="I204" s="69" t="n">
        <f aca="false">ROUND(0.36*(1-$O$10),2)</f>
        <v>0.36</v>
      </c>
      <c r="J204" s="69" t="n">
        <f aca="false">ROUND(0*(1-$O$10),2)</f>
        <v>0</v>
      </c>
      <c r="K204" s="69" t="n">
        <f aca="false">ROUND(0*(1-$O$10),2)</f>
        <v>0</v>
      </c>
      <c r="L204" s="69" t="n">
        <f aca="false">$G204+$H204+$I204+$J204+$K204</f>
        <v>117.72</v>
      </c>
      <c r="M204" s="69" t="n">
        <f aca="false">ROUND($F204*$L204,2)</f>
        <v>527.39</v>
      </c>
      <c r="N204" s="70" t="n">
        <f aca="false">$O$11</f>
        <v>0.2158185125</v>
      </c>
      <c r="O204" s="69" t="n">
        <f aca="false">ROUND($M204*(1+$N204),2)</f>
        <v>641.21</v>
      </c>
      <c r="P204" s="71" t="n">
        <f aca="false">$O204/$O$9</f>
        <v>0.00177614205856806</v>
      </c>
      <c r="Q204" s="35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</row>
    <row r="205" customFormat="false" ht="14.25" hidden="false" customHeight="true" outlineLevel="0" collapsed="false">
      <c r="A205" s="65" t="s">
        <v>236</v>
      </c>
      <c r="B205" s="66" t="s">
        <v>51</v>
      </c>
      <c r="C205" s="66" t="s">
        <v>136</v>
      </c>
      <c r="D205" s="67" t="s">
        <v>137</v>
      </c>
      <c r="E205" s="66" t="s">
        <v>62</v>
      </c>
      <c r="F205" s="68" t="n">
        <v>1.31</v>
      </c>
      <c r="G205" s="69" t="n">
        <f aca="false">ROUND(266.32*(1-$O$10),2)</f>
        <v>266.32</v>
      </c>
      <c r="H205" s="69" t="n">
        <f aca="false">ROUND(5.45*(1-$O$10),2)</f>
        <v>5.45</v>
      </c>
      <c r="I205" s="69" t="n">
        <f aca="false">ROUND(0*(1-$O$10),2)</f>
        <v>0</v>
      </c>
      <c r="J205" s="69" t="n">
        <f aca="false">ROUND(0*(1-$O$10),2)</f>
        <v>0</v>
      </c>
      <c r="K205" s="69" t="n">
        <f aca="false">ROUND(0*(1-$O$10),2)</f>
        <v>0</v>
      </c>
      <c r="L205" s="69" t="n">
        <f aca="false">$G205+$H205+$I205+$J205+$K205</f>
        <v>271.77</v>
      </c>
      <c r="M205" s="69" t="n">
        <f aca="false">ROUND($F205*$L205,2)</f>
        <v>356.02</v>
      </c>
      <c r="N205" s="70" t="n">
        <f aca="false">$O$11</f>
        <v>0.2158185125</v>
      </c>
      <c r="O205" s="69" t="n">
        <f aca="false">ROUND($M205*(1+$N205),2)</f>
        <v>432.86</v>
      </c>
      <c r="P205" s="71" t="n">
        <f aca="false">$O205/$O$9</f>
        <v>0.00119901569138312</v>
      </c>
      <c r="Q205" s="35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</row>
    <row r="206" customFormat="false" ht="14.25" hidden="false" customHeight="true" outlineLevel="0" collapsed="false">
      <c r="A206" s="65" t="s">
        <v>237</v>
      </c>
      <c r="B206" s="66" t="s">
        <v>51</v>
      </c>
      <c r="C206" s="66" t="s">
        <v>139</v>
      </c>
      <c r="D206" s="67" t="s">
        <v>140</v>
      </c>
      <c r="E206" s="66" t="s">
        <v>62</v>
      </c>
      <c r="F206" s="68" t="n">
        <v>1.13</v>
      </c>
      <c r="G206" s="69" t="n">
        <f aca="false">ROUND(266.32*(1-$O$10),2)</f>
        <v>266.32</v>
      </c>
      <c r="H206" s="69" t="n">
        <f aca="false">ROUND(5.45*(1-$O$10),2)</f>
        <v>5.45</v>
      </c>
      <c r="I206" s="69" t="n">
        <f aca="false">ROUND(0*(1-$O$10),2)</f>
        <v>0</v>
      </c>
      <c r="J206" s="69" t="n">
        <f aca="false">ROUND(0*(1-$O$10),2)</f>
        <v>0</v>
      </c>
      <c r="K206" s="69" t="n">
        <f aca="false">ROUND(0*(1-$O$10),2)</f>
        <v>0</v>
      </c>
      <c r="L206" s="69" t="n">
        <f aca="false">$G206+$H206+$I206+$J206+$K206</f>
        <v>271.77</v>
      </c>
      <c r="M206" s="69" t="n">
        <f aca="false">ROUND($F206*$L206,2)</f>
        <v>307.1</v>
      </c>
      <c r="N206" s="70" t="n">
        <f aca="false">$O$11</f>
        <v>0.2158185125</v>
      </c>
      <c r="O206" s="69" t="n">
        <f aca="false">ROUND($M206*(1+$N206),2)</f>
        <v>373.38</v>
      </c>
      <c r="P206" s="71" t="n">
        <f aca="false">$O206/$O$9</f>
        <v>0.0010342569857428</v>
      </c>
      <c r="Q206" s="35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</row>
    <row r="207" customFormat="false" ht="14.25" hidden="false" customHeight="true" outlineLevel="0" collapsed="false">
      <c r="A207" s="65"/>
      <c r="B207" s="66"/>
      <c r="C207" s="66"/>
      <c r="D207" s="67"/>
      <c r="E207" s="66"/>
      <c r="F207" s="68"/>
      <c r="G207" s="69"/>
      <c r="H207" s="69"/>
      <c r="I207" s="69"/>
      <c r="J207" s="69"/>
      <c r="K207" s="69"/>
      <c r="L207" s="69"/>
      <c r="M207" s="69"/>
      <c r="N207" s="70"/>
      <c r="O207" s="69"/>
      <c r="P207" s="71"/>
      <c r="Q207" s="35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</row>
    <row r="208" customFormat="false" ht="14.25" hidden="false" customHeight="true" outlineLevel="0" collapsed="false">
      <c r="A208" s="80"/>
      <c r="B208" s="81"/>
      <c r="C208" s="81"/>
      <c r="D208" s="82" t="str">
        <f aca="false">CONCATENATE("SUBTOTAL ITEM: ", $D$191)</f>
        <v>SUBTOTAL ITEM: ESTACIONAMENTO </v>
      </c>
      <c r="E208" s="81"/>
      <c r="F208" s="83"/>
      <c r="G208" s="84"/>
      <c r="H208" s="84"/>
      <c r="I208" s="84"/>
      <c r="J208" s="84"/>
      <c r="K208" s="84"/>
      <c r="L208" s="84"/>
      <c r="M208" s="84" t="n">
        <f aca="false">$M191</f>
        <v>33181.52</v>
      </c>
      <c r="N208" s="85"/>
      <c r="O208" s="84" t="n">
        <f aca="false">$O191</f>
        <v>40342.72</v>
      </c>
      <c r="P208" s="86" t="n">
        <f aca="false">$P191</f>
        <v>0.111748727794381</v>
      </c>
      <c r="Q208" s="35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</row>
    <row r="209" customFormat="false" ht="14.25" hidden="false" customHeight="true" outlineLevel="0" collapsed="false">
      <c r="A209" s="65"/>
      <c r="B209" s="66"/>
      <c r="C209" s="66"/>
      <c r="D209" s="67"/>
      <c r="E209" s="66"/>
      <c r="F209" s="68"/>
      <c r="G209" s="69"/>
      <c r="H209" s="69"/>
      <c r="I209" s="69"/>
      <c r="J209" s="69"/>
      <c r="K209" s="69"/>
      <c r="L209" s="69"/>
      <c r="M209" s="69"/>
      <c r="N209" s="70"/>
      <c r="O209" s="69"/>
      <c r="P209" s="71"/>
      <c r="Q209" s="35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</row>
    <row r="210" customFormat="false" ht="14.25" hidden="false" customHeight="true" outlineLevel="0" collapsed="false">
      <c r="A210" s="80" t="s">
        <v>238</v>
      </c>
      <c r="B210" s="81"/>
      <c r="C210" s="81"/>
      <c r="D210" s="82" t="s">
        <v>142</v>
      </c>
      <c r="E210" s="81"/>
      <c r="F210" s="83"/>
      <c r="G210" s="84"/>
      <c r="H210" s="84"/>
      <c r="I210" s="84"/>
      <c r="J210" s="84"/>
      <c r="K210" s="84"/>
      <c r="L210" s="84" t="s">
        <v>49</v>
      </c>
      <c r="M210" s="84" t="n">
        <f aca="false">SUMIFS($M211:$M213, $B211:$B213, "&lt;&gt;")</f>
        <v>763.98</v>
      </c>
      <c r="N210" s="85"/>
      <c r="O210" s="84" t="n">
        <f aca="false">SUMIFS($O211:$O213, $B211:$B213, "&lt;&gt;")</f>
        <v>928.86</v>
      </c>
      <c r="P210" s="86" t="n">
        <f aca="false">$O210/$O$9</f>
        <v>0.00257292823337367</v>
      </c>
      <c r="Q210" s="35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</row>
    <row r="211" customFormat="false" ht="14.25" hidden="false" customHeight="true" outlineLevel="0" collapsed="false">
      <c r="A211" s="65"/>
      <c r="B211" s="66"/>
      <c r="C211" s="66"/>
      <c r="D211" s="67"/>
      <c r="E211" s="66"/>
      <c r="F211" s="68"/>
      <c r="G211" s="69"/>
      <c r="H211" s="69"/>
      <c r="I211" s="69"/>
      <c r="J211" s="69"/>
      <c r="K211" s="69"/>
      <c r="L211" s="69"/>
      <c r="M211" s="69"/>
      <c r="N211" s="70"/>
      <c r="O211" s="69"/>
      <c r="P211" s="71"/>
      <c r="Q211" s="35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</row>
    <row r="212" customFormat="false" ht="14.25" hidden="false" customHeight="true" outlineLevel="0" collapsed="false">
      <c r="A212" s="65" t="s">
        <v>239</v>
      </c>
      <c r="B212" s="66" t="s">
        <v>69</v>
      </c>
      <c r="C212" s="66" t="n">
        <v>98504</v>
      </c>
      <c r="D212" s="67" t="s">
        <v>144</v>
      </c>
      <c r="E212" s="66" t="s">
        <v>62</v>
      </c>
      <c r="F212" s="68" t="n">
        <v>69.39</v>
      </c>
      <c r="G212" s="69" t="n">
        <f aca="false">ROUND(7.58*(1-$O$10),2)</f>
        <v>7.58</v>
      </c>
      <c r="H212" s="69" t="n">
        <f aca="false">ROUND(3.43*(1-$O$10),2)</f>
        <v>3.43</v>
      </c>
      <c r="I212" s="69" t="n">
        <f aca="false">ROUND(0*(1-$O$10),2)</f>
        <v>0</v>
      </c>
      <c r="J212" s="69" t="n">
        <f aca="false">ROUND(0*(1-$O$10),2)</f>
        <v>0</v>
      </c>
      <c r="K212" s="69" t="n">
        <f aca="false">ROUND(0*(1-$O$10),2)</f>
        <v>0</v>
      </c>
      <c r="L212" s="69" t="n">
        <f aca="false">$G212+$H212+$I212+$J212+$K212</f>
        <v>11.01</v>
      </c>
      <c r="M212" s="69" t="n">
        <f aca="false">ROUND($F212*$L212,2)</f>
        <v>763.98</v>
      </c>
      <c r="N212" s="70" t="n">
        <f aca="false">$O$11</f>
        <v>0.2158185125</v>
      </c>
      <c r="O212" s="69" t="n">
        <f aca="false">ROUND($M212*(1+$N212),2)</f>
        <v>928.86</v>
      </c>
      <c r="P212" s="71" t="n">
        <f aca="false">$O212/$O$9</f>
        <v>0.00257292823337367</v>
      </c>
      <c r="Q212" s="35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</row>
    <row r="213" customFormat="false" ht="14.25" hidden="false" customHeight="true" outlineLevel="0" collapsed="false">
      <c r="A213" s="65"/>
      <c r="B213" s="66"/>
      <c r="C213" s="66"/>
      <c r="D213" s="67"/>
      <c r="E213" s="66"/>
      <c r="F213" s="68"/>
      <c r="G213" s="69"/>
      <c r="H213" s="69"/>
      <c r="I213" s="69"/>
      <c r="J213" s="69"/>
      <c r="K213" s="69"/>
      <c r="L213" s="69"/>
      <c r="M213" s="69"/>
      <c r="N213" s="70"/>
      <c r="O213" s="69"/>
      <c r="P213" s="71"/>
      <c r="Q213" s="35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</row>
    <row r="214" customFormat="false" ht="14.25" hidden="false" customHeight="true" outlineLevel="0" collapsed="false">
      <c r="A214" s="80"/>
      <c r="B214" s="81"/>
      <c r="C214" s="81"/>
      <c r="D214" s="82" t="str">
        <f aca="false">CONCATENATE("SUBTOTAL ITEM: ", $D$210)</f>
        <v>SUBTOTAL ITEM: PAISAGISMO</v>
      </c>
      <c r="E214" s="81"/>
      <c r="F214" s="83"/>
      <c r="G214" s="84"/>
      <c r="H214" s="84"/>
      <c r="I214" s="84"/>
      <c r="J214" s="84"/>
      <c r="K214" s="84"/>
      <c r="L214" s="84"/>
      <c r="M214" s="84" t="n">
        <f aca="false">$M210</f>
        <v>763.98</v>
      </c>
      <c r="N214" s="85"/>
      <c r="O214" s="84" t="n">
        <f aca="false">$O210</f>
        <v>928.86</v>
      </c>
      <c r="P214" s="86" t="n">
        <f aca="false">$P210</f>
        <v>0.00257292823337367</v>
      </c>
      <c r="Q214" s="35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</row>
    <row r="215" customFormat="false" ht="14.25" hidden="false" customHeight="true" outlineLevel="0" collapsed="false">
      <c r="A215" s="65"/>
      <c r="B215" s="66"/>
      <c r="C215" s="66"/>
      <c r="D215" s="67"/>
      <c r="E215" s="66"/>
      <c r="F215" s="68"/>
      <c r="G215" s="69"/>
      <c r="H215" s="69"/>
      <c r="I215" s="69"/>
      <c r="J215" s="69"/>
      <c r="K215" s="69"/>
      <c r="L215" s="69"/>
      <c r="M215" s="69"/>
      <c r="N215" s="70"/>
      <c r="O215" s="69"/>
      <c r="P215" s="71"/>
      <c r="Q215" s="35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</row>
    <row r="216" customFormat="false" ht="14.25" hidden="false" customHeight="true" outlineLevel="0" collapsed="false">
      <c r="A216" s="80" t="s">
        <v>240</v>
      </c>
      <c r="B216" s="81"/>
      <c r="C216" s="81"/>
      <c r="D216" s="82" t="s">
        <v>146</v>
      </c>
      <c r="E216" s="81"/>
      <c r="F216" s="83"/>
      <c r="G216" s="84"/>
      <c r="H216" s="84"/>
      <c r="I216" s="84"/>
      <c r="J216" s="84"/>
      <c r="K216" s="84"/>
      <c r="L216" s="84" t="s">
        <v>49</v>
      </c>
      <c r="M216" s="84" t="n">
        <f aca="false">SUMIFS($M217:$M225, $B217:$B225, "&lt;&gt;")</f>
        <v>2972.02</v>
      </c>
      <c r="N216" s="85"/>
      <c r="O216" s="84" t="n">
        <f aca="false">SUMIFS($O217:$O225, $B217:$B225, "&lt;&gt;")</f>
        <v>3613.43</v>
      </c>
      <c r="P216" s="86" t="n">
        <f aca="false">$O216/$O$9</f>
        <v>0.0100091467673486</v>
      </c>
      <c r="Q216" s="35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</row>
    <row r="217" customFormat="false" ht="14.25" hidden="false" customHeight="true" outlineLevel="0" collapsed="false">
      <c r="A217" s="65"/>
      <c r="B217" s="66"/>
      <c r="C217" s="66"/>
      <c r="D217" s="67"/>
      <c r="E217" s="66"/>
      <c r="F217" s="68"/>
      <c r="G217" s="69"/>
      <c r="H217" s="69"/>
      <c r="I217" s="69"/>
      <c r="J217" s="69"/>
      <c r="K217" s="69"/>
      <c r="L217" s="69"/>
      <c r="M217" s="69"/>
      <c r="N217" s="70"/>
      <c r="O217" s="69"/>
      <c r="P217" s="71"/>
      <c r="Q217" s="35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</row>
    <row r="218" customFormat="false" ht="14.25" hidden="false" customHeight="true" outlineLevel="0" collapsed="false">
      <c r="A218" s="65" t="s">
        <v>241</v>
      </c>
      <c r="B218" s="66" t="s">
        <v>69</v>
      </c>
      <c r="C218" s="66" t="n">
        <v>93358</v>
      </c>
      <c r="D218" s="67" t="s">
        <v>148</v>
      </c>
      <c r="E218" s="66" t="s">
        <v>85</v>
      </c>
      <c r="F218" s="68" t="n">
        <f aca="false">0.063*F221</f>
        <v>0.252</v>
      </c>
      <c r="G218" s="69" t="n">
        <f aca="false">ROUND(30.44*(1-$O$10),2)</f>
        <v>30.44</v>
      </c>
      <c r="H218" s="69" t="n">
        <f aca="false">ROUND(68.93*(1-$O$10),2)</f>
        <v>68.93</v>
      </c>
      <c r="I218" s="69" t="n">
        <f aca="false">ROUND(0*(1-$O$10),2)</f>
        <v>0</v>
      </c>
      <c r="J218" s="69" t="n">
        <f aca="false">ROUND(0*(1-$O$10),2)</f>
        <v>0</v>
      </c>
      <c r="K218" s="69" t="n">
        <f aca="false">ROUND(0*(1-$O$10),2)</f>
        <v>0</v>
      </c>
      <c r="L218" s="69" t="n">
        <f aca="false">$G218+$H218+$I218+$J218+$K218</f>
        <v>99.37</v>
      </c>
      <c r="M218" s="69" t="n">
        <f aca="false">ROUND($F218*$L218,2)</f>
        <v>25.04</v>
      </c>
      <c r="N218" s="70" t="n">
        <f aca="false">$O$11</f>
        <v>0.2158185125</v>
      </c>
      <c r="O218" s="69" t="n">
        <f aca="false">ROUND($M218*(1+$N218),2)</f>
        <v>30.44</v>
      </c>
      <c r="P218" s="71" t="n">
        <f aca="false">$O218/$O$9</f>
        <v>8.43183422947425E-005</v>
      </c>
      <c r="Q218" s="35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</row>
    <row r="219" customFormat="false" ht="14.25" hidden="false" customHeight="true" outlineLevel="0" collapsed="false">
      <c r="A219" s="65" t="s">
        <v>242</v>
      </c>
      <c r="B219" s="66" t="s">
        <v>69</v>
      </c>
      <c r="C219" s="66" t="n">
        <v>94970</v>
      </c>
      <c r="D219" s="67" t="s">
        <v>150</v>
      </c>
      <c r="E219" s="66" t="s">
        <v>85</v>
      </c>
      <c r="F219" s="68" t="n">
        <f aca="false">F218</f>
        <v>0.252</v>
      </c>
      <c r="G219" s="69" t="n">
        <f aca="false">ROUND(374.83*(1-$O$10),2)</f>
        <v>374.83</v>
      </c>
      <c r="H219" s="69" t="n">
        <f aca="false">ROUND(59.54*(1-$O$10),2)</f>
        <v>59.54</v>
      </c>
      <c r="I219" s="69" t="n">
        <f aca="false">ROUND(2.47*(1-$O$10),2)</f>
        <v>2.47</v>
      </c>
      <c r="J219" s="69" t="n">
        <f aca="false">ROUND(0*(1-$O$10),2)</f>
        <v>0</v>
      </c>
      <c r="K219" s="69" t="n">
        <f aca="false">ROUND(1.15*(1-$O$10),2)</f>
        <v>1.15</v>
      </c>
      <c r="L219" s="69" t="n">
        <f aca="false">$G219+$H219+$I219+$J219+$K219</f>
        <v>437.99</v>
      </c>
      <c r="M219" s="69" t="n">
        <f aca="false">ROUND($F219*$L219,2)</f>
        <v>110.37</v>
      </c>
      <c r="N219" s="70" t="n">
        <f aca="false">$O$11</f>
        <v>0.2158185125</v>
      </c>
      <c r="O219" s="69" t="n">
        <f aca="false">ROUND($M219*(1+$N219),2)</f>
        <v>134.19</v>
      </c>
      <c r="P219" s="71" t="n">
        <f aca="false">$O219/$O$9</f>
        <v>0.000371704282277644</v>
      </c>
      <c r="Q219" s="35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</row>
    <row r="220" customFormat="false" ht="14.25" hidden="false" customHeight="true" outlineLevel="0" collapsed="false">
      <c r="A220" s="65" t="s">
        <v>243</v>
      </c>
      <c r="B220" s="66" t="s">
        <v>69</v>
      </c>
      <c r="C220" s="66" t="n">
        <v>103670</v>
      </c>
      <c r="D220" s="67" t="s">
        <v>152</v>
      </c>
      <c r="E220" s="66" t="s">
        <v>85</v>
      </c>
      <c r="F220" s="68" t="n">
        <f aca="false">F219</f>
        <v>0.252</v>
      </c>
      <c r="G220" s="69" t="n">
        <f aca="false">ROUND(95*(1-$O$10),2)</f>
        <v>95</v>
      </c>
      <c r="H220" s="69" t="n">
        <f aca="false">ROUND(249.37*(1-$O$10),2)</f>
        <v>249.37</v>
      </c>
      <c r="I220" s="69" t="n">
        <f aca="false">ROUND(1.38*(1-$O$10),2)</f>
        <v>1.38</v>
      </c>
      <c r="J220" s="69" t="n">
        <f aca="false">ROUND(0*(1-$O$10),2)</f>
        <v>0</v>
      </c>
      <c r="K220" s="69" t="n">
        <f aca="false">ROUND(0.37*(1-$O$10),2)</f>
        <v>0.37</v>
      </c>
      <c r="L220" s="69" t="n">
        <f aca="false">$G220+$H220+$I220+$J220+$K220</f>
        <v>346.12</v>
      </c>
      <c r="M220" s="69" t="n">
        <f aca="false">ROUND($F220*$L220,2)</f>
        <v>87.22</v>
      </c>
      <c r="N220" s="70" t="n">
        <f aca="false">$O$11</f>
        <v>0.2158185125</v>
      </c>
      <c r="O220" s="69" t="n">
        <f aca="false">ROUND($M220*(1+$N220),2)</f>
        <v>106.04</v>
      </c>
      <c r="P220" s="71" t="n">
        <f aca="false">$O220/$O$9</f>
        <v>0.000293729205549753</v>
      </c>
      <c r="Q220" s="35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</row>
    <row r="221" customFormat="false" ht="14.25" hidden="false" customHeight="true" outlineLevel="0" collapsed="false">
      <c r="A221" s="65" t="s">
        <v>244</v>
      </c>
      <c r="B221" s="66" t="s">
        <v>51</v>
      </c>
      <c r="C221" s="66" t="s">
        <v>154</v>
      </c>
      <c r="D221" s="67" t="s">
        <v>155</v>
      </c>
      <c r="E221" s="66" t="s">
        <v>54</v>
      </c>
      <c r="F221" s="68" t="n">
        <v>4</v>
      </c>
      <c r="G221" s="69" t="n">
        <f aca="false">ROUND(237.86*(1-$O$10),2)</f>
        <v>237.86</v>
      </c>
      <c r="H221" s="69" t="n">
        <f aca="false">ROUND(8.71*(1-$O$10),2)</f>
        <v>8.71</v>
      </c>
      <c r="I221" s="69" t="n">
        <f aca="false">ROUND(0*(1-$O$10),2)</f>
        <v>0</v>
      </c>
      <c r="J221" s="69" t="n">
        <f aca="false">ROUND(0*(1-$O$10),2)</f>
        <v>0</v>
      </c>
      <c r="K221" s="69" t="n">
        <f aca="false">ROUND(0*(1-$O$10),2)</f>
        <v>0</v>
      </c>
      <c r="L221" s="69" t="n">
        <f aca="false">$G221+$H221+$I221+$J221+$K221</f>
        <v>246.57</v>
      </c>
      <c r="M221" s="69" t="n">
        <f aca="false">ROUND($F221*$L221,2)</f>
        <v>986.28</v>
      </c>
      <c r="N221" s="70" t="n">
        <f aca="false">$O$11</f>
        <v>0.2158185125</v>
      </c>
      <c r="O221" s="69" t="n">
        <f aca="false">ROUND($M221*(1+$N221),2)</f>
        <v>1199.14</v>
      </c>
      <c r="P221" s="71" t="n">
        <f aca="false">$O221/$O$9</f>
        <v>0.00332159976935997</v>
      </c>
      <c r="Q221" s="35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</row>
    <row r="222" customFormat="false" ht="14.25" hidden="false" customHeight="true" outlineLevel="0" collapsed="false">
      <c r="A222" s="65" t="s">
        <v>245</v>
      </c>
      <c r="B222" s="66" t="s">
        <v>51</v>
      </c>
      <c r="C222" s="66" t="s">
        <v>157</v>
      </c>
      <c r="D222" s="67" t="s">
        <v>158</v>
      </c>
      <c r="E222" s="66" t="s">
        <v>54</v>
      </c>
      <c r="F222" s="68" t="n">
        <v>4</v>
      </c>
      <c r="G222" s="69" t="n">
        <f aca="false">ROUND(38.29*(1-$O$10),2)</f>
        <v>38.29</v>
      </c>
      <c r="H222" s="69" t="n">
        <f aca="false">ROUND(17.46*(1-$O$10),2)</f>
        <v>17.46</v>
      </c>
      <c r="I222" s="69" t="n">
        <f aca="false">ROUND(0*(1-$O$10),2)</f>
        <v>0</v>
      </c>
      <c r="J222" s="69" t="n">
        <f aca="false">ROUND(0*(1-$O$10),2)</f>
        <v>0</v>
      </c>
      <c r="K222" s="69" t="n">
        <f aca="false">ROUND(0*(1-$O$10),2)</f>
        <v>0</v>
      </c>
      <c r="L222" s="69" t="n">
        <f aca="false">$G222+$H222+$I222+$J222+$K222</f>
        <v>55.75</v>
      </c>
      <c r="M222" s="69" t="n">
        <f aca="false">ROUND($F222*$L222,2)</f>
        <v>223</v>
      </c>
      <c r="N222" s="70" t="n">
        <f aca="false">$O$11</f>
        <v>0.2158185125</v>
      </c>
      <c r="O222" s="69" t="n">
        <f aca="false">ROUND($M222*(1+$N222),2)</f>
        <v>271.13</v>
      </c>
      <c r="P222" s="71" t="n">
        <f aca="false">$O222/$O$9</f>
        <v>0.000751026023205438</v>
      </c>
      <c r="Q222" s="35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</row>
    <row r="223" customFormat="false" ht="14.25" hidden="false" customHeight="true" outlineLevel="0" collapsed="false">
      <c r="A223" s="65" t="s">
        <v>246</v>
      </c>
      <c r="B223" s="66" t="s">
        <v>51</v>
      </c>
      <c r="C223" s="66" t="s">
        <v>160</v>
      </c>
      <c r="D223" s="67" t="s">
        <v>161</v>
      </c>
      <c r="E223" s="66" t="s">
        <v>62</v>
      </c>
      <c r="F223" s="68" t="n">
        <f aca="false">0.45*4</f>
        <v>1.8</v>
      </c>
      <c r="G223" s="69" t="n">
        <f aca="false">ROUND(577.5*(1-$O$10),2)</f>
        <v>577.5</v>
      </c>
      <c r="H223" s="69" t="n">
        <f aca="false">ROUND(0*(1-$O$10),2)</f>
        <v>0</v>
      </c>
      <c r="I223" s="69" t="n">
        <f aca="false">ROUND(0*(1-$O$10),2)</f>
        <v>0</v>
      </c>
      <c r="J223" s="69" t="n">
        <f aca="false">ROUND(0*(1-$O$10),2)</f>
        <v>0</v>
      </c>
      <c r="K223" s="69" t="n">
        <f aca="false">ROUND(0*(1-$O$10),2)</f>
        <v>0</v>
      </c>
      <c r="L223" s="69" t="n">
        <f aca="false">$G223+$H223+$I223+$J223+$K223</f>
        <v>577.5</v>
      </c>
      <c r="M223" s="69" t="n">
        <f aca="false">ROUND($F223*$L223,2)</f>
        <v>1039.5</v>
      </c>
      <c r="N223" s="70" t="n">
        <f aca="false">$O$11</f>
        <v>0.2158185125</v>
      </c>
      <c r="O223" s="69" t="n">
        <f aca="false">ROUND($M223*(1+$N223),2)</f>
        <v>1263.84</v>
      </c>
      <c r="P223" s="71" t="n">
        <f aca="false">$O223/$O$9</f>
        <v>0.00350081779651075</v>
      </c>
      <c r="Q223" s="35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</row>
    <row r="224" customFormat="false" ht="14.25" hidden="false" customHeight="true" outlineLevel="0" collapsed="false">
      <c r="A224" s="65" t="s">
        <v>247</v>
      </c>
      <c r="B224" s="66" t="s">
        <v>51</v>
      </c>
      <c r="C224" s="66" t="s">
        <v>163</v>
      </c>
      <c r="D224" s="67" t="s">
        <v>164</v>
      </c>
      <c r="E224" s="66" t="s">
        <v>62</v>
      </c>
      <c r="F224" s="68" t="n">
        <v>16.18</v>
      </c>
      <c r="G224" s="69" t="n">
        <f aca="false">ROUND(12.93*(1-$O$10),2)</f>
        <v>12.93</v>
      </c>
      <c r="H224" s="69" t="n">
        <f aca="false">ROUND(18.01*(1-$O$10),2)</f>
        <v>18.01</v>
      </c>
      <c r="I224" s="69" t="n">
        <f aca="false">ROUND(0*(1-$O$10),2)</f>
        <v>0</v>
      </c>
      <c r="J224" s="69" t="n">
        <f aca="false">ROUND(0*(1-$O$10),2)</f>
        <v>0</v>
      </c>
      <c r="K224" s="69" t="n">
        <f aca="false">ROUND(0*(1-$O$10),2)</f>
        <v>0</v>
      </c>
      <c r="L224" s="69" t="n">
        <f aca="false">$G224+$H224+$I224+$J224+$K224</f>
        <v>30.94</v>
      </c>
      <c r="M224" s="69" t="n">
        <f aca="false">ROUND($F224*$L224,2)</f>
        <v>500.61</v>
      </c>
      <c r="N224" s="70" t="n">
        <f aca="false">$O$11</f>
        <v>0.2158185125</v>
      </c>
      <c r="O224" s="69" t="n">
        <f aca="false">ROUND($M224*(1+$N224),2)</f>
        <v>608.65</v>
      </c>
      <c r="P224" s="71" t="n">
        <f aca="false">$O224/$O$9</f>
        <v>0.0016859513481503</v>
      </c>
      <c r="Q224" s="35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</row>
    <row r="225" customFormat="false" ht="14.25" hidden="false" customHeight="true" outlineLevel="0" collapsed="false">
      <c r="A225" s="65"/>
      <c r="B225" s="66"/>
      <c r="C225" s="66"/>
      <c r="D225" s="67"/>
      <c r="E225" s="66"/>
      <c r="F225" s="68"/>
      <c r="G225" s="69"/>
      <c r="H225" s="69"/>
      <c r="I225" s="69"/>
      <c r="J225" s="69"/>
      <c r="K225" s="69"/>
      <c r="L225" s="69"/>
      <c r="M225" s="69"/>
      <c r="N225" s="70"/>
      <c r="O225" s="69"/>
      <c r="P225" s="71"/>
      <c r="Q225" s="35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</row>
    <row r="226" customFormat="false" ht="14.25" hidden="false" customHeight="true" outlineLevel="0" collapsed="false">
      <c r="A226" s="80"/>
      <c r="B226" s="81"/>
      <c r="C226" s="81"/>
      <c r="D226" s="82" t="str">
        <f aca="false">CONCATENATE("SUBTOTAL ITEM: ", $D$216)</f>
        <v>SUBTOTAL ITEM: SINALIZAÇÃO VIÁRIA</v>
      </c>
      <c r="E226" s="81"/>
      <c r="F226" s="83"/>
      <c r="G226" s="84"/>
      <c r="H226" s="84"/>
      <c r="I226" s="84"/>
      <c r="J226" s="84"/>
      <c r="K226" s="84"/>
      <c r="L226" s="84"/>
      <c r="M226" s="84" t="n">
        <f aca="false">$M216</f>
        <v>2972.02</v>
      </c>
      <c r="N226" s="85"/>
      <c r="O226" s="84" t="n">
        <f aca="false">$O216</f>
        <v>3613.43</v>
      </c>
      <c r="P226" s="86" t="n">
        <f aca="false">$P216</f>
        <v>0.0100091467673486</v>
      </c>
      <c r="Q226" s="35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</row>
    <row r="227" customFormat="false" ht="14.25" hidden="false" customHeight="true" outlineLevel="0" collapsed="false">
      <c r="A227" s="65"/>
      <c r="B227" s="66"/>
      <c r="C227" s="66"/>
      <c r="D227" s="67"/>
      <c r="E227" s="66"/>
      <c r="F227" s="68"/>
      <c r="G227" s="69"/>
      <c r="H227" s="69"/>
      <c r="I227" s="69"/>
      <c r="J227" s="69"/>
      <c r="K227" s="69"/>
      <c r="L227" s="69"/>
      <c r="M227" s="69"/>
      <c r="N227" s="70"/>
      <c r="O227" s="69"/>
      <c r="P227" s="71"/>
      <c r="Q227" s="35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</row>
    <row r="228" customFormat="false" ht="14.25" hidden="false" customHeight="true" outlineLevel="0" collapsed="false">
      <c r="A228" s="79"/>
      <c r="B228" s="73"/>
      <c r="C228" s="73"/>
      <c r="D228" s="74" t="str">
        <f aca="false">CONCATENATE("SUBTOTAL ITEM: ", $D$180)</f>
        <v>SUBTOTAL ITEM: PAVIMENTAÇÃO – RU</v>
      </c>
      <c r="E228" s="73"/>
      <c r="F228" s="75"/>
      <c r="G228" s="76"/>
      <c r="H228" s="76"/>
      <c r="I228" s="76"/>
      <c r="J228" s="76"/>
      <c r="K228" s="76"/>
      <c r="L228" s="76"/>
      <c r="M228" s="76" t="n">
        <f aca="false">$M180</f>
        <v>38104.13</v>
      </c>
      <c r="N228" s="77"/>
      <c r="O228" s="76" t="n">
        <f aca="false">$O180</f>
        <v>46327.71</v>
      </c>
      <c r="P228" s="78" t="n">
        <f aca="false">$P180</f>
        <v>0.12832706010222</v>
      </c>
      <c r="Q228" s="35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</row>
    <row r="229" customFormat="false" ht="14.25" hidden="false" customHeight="true" outlineLevel="0" collapsed="false">
      <c r="A229" s="65"/>
      <c r="B229" s="66"/>
      <c r="C229" s="66"/>
      <c r="D229" s="67"/>
      <c r="E229" s="66"/>
      <c r="F229" s="68"/>
      <c r="G229" s="69"/>
      <c r="H229" s="69"/>
      <c r="I229" s="69"/>
      <c r="J229" s="69"/>
      <c r="K229" s="69"/>
      <c r="L229" s="69"/>
      <c r="M229" s="69"/>
      <c r="N229" s="70"/>
      <c r="O229" s="69"/>
      <c r="P229" s="71"/>
      <c r="Q229" s="35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</row>
    <row r="230" customFormat="false" ht="14.25" hidden="false" customHeight="true" outlineLevel="0" collapsed="false">
      <c r="A230" s="72" t="s">
        <v>248</v>
      </c>
      <c r="B230" s="73"/>
      <c r="C230" s="73"/>
      <c r="D230" s="74" t="s">
        <v>249</v>
      </c>
      <c r="E230" s="73"/>
      <c r="F230" s="75"/>
      <c r="G230" s="76"/>
      <c r="H230" s="76"/>
      <c r="I230" s="76"/>
      <c r="J230" s="76"/>
      <c r="K230" s="76"/>
      <c r="L230" s="76" t="s">
        <v>49</v>
      </c>
      <c r="M230" s="76" t="n">
        <f aca="false">SUMIFS($M231:$M239, $B231:$B239, "&lt;&gt;")</f>
        <v>2542.68</v>
      </c>
      <c r="N230" s="77"/>
      <c r="O230" s="76" t="n">
        <f aca="false">SUMIFS($O231:$O239, $B231:$B239, "&lt;&gt;")</f>
        <v>3091.44</v>
      </c>
      <c r="P230" s="78" t="n">
        <f aca="false">$O230/$O$9</f>
        <v>0.00856324231615173</v>
      </c>
      <c r="Q230" s="35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</row>
    <row r="231" customFormat="false" ht="14.25" hidden="false" customHeight="true" outlineLevel="0" collapsed="false">
      <c r="A231" s="65"/>
      <c r="B231" s="66"/>
      <c r="C231" s="66"/>
      <c r="D231" s="67"/>
      <c r="E231" s="66"/>
      <c r="F231" s="68"/>
      <c r="G231" s="69"/>
      <c r="H231" s="69"/>
      <c r="I231" s="69"/>
      <c r="J231" s="69"/>
      <c r="K231" s="69"/>
      <c r="L231" s="69"/>
      <c r="M231" s="69"/>
      <c r="N231" s="70"/>
      <c r="O231" s="69"/>
      <c r="P231" s="71"/>
      <c r="Q231" s="35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</row>
    <row r="232" customFormat="false" ht="14.25" hidden="false" customHeight="true" outlineLevel="0" collapsed="false">
      <c r="A232" s="80" t="s">
        <v>250</v>
      </c>
      <c r="B232" s="81"/>
      <c r="C232" s="81"/>
      <c r="D232" s="82" t="s">
        <v>251</v>
      </c>
      <c r="E232" s="81"/>
      <c r="F232" s="83"/>
      <c r="G232" s="84"/>
      <c r="H232" s="84"/>
      <c r="I232" s="84"/>
      <c r="J232" s="84"/>
      <c r="K232" s="84"/>
      <c r="L232" s="84" t="s">
        <v>49</v>
      </c>
      <c r="M232" s="84" t="n">
        <f aca="false">SUMIFS($M233:$M237, $B233:$B237, "&lt;&gt;")</f>
        <v>2542.68</v>
      </c>
      <c r="N232" s="85"/>
      <c r="O232" s="84" t="n">
        <f aca="false">SUMIFS($O233:$O237, $B233:$B237, "&lt;&gt;")</f>
        <v>3091.44</v>
      </c>
      <c r="P232" s="86" t="n">
        <f aca="false">$O232/$O$9</f>
        <v>0.00856324231615173</v>
      </c>
      <c r="Q232" s="35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</row>
    <row r="233" customFormat="false" ht="14.25" hidden="false" customHeight="true" outlineLevel="0" collapsed="false">
      <c r="A233" s="65"/>
      <c r="B233" s="66"/>
      <c r="C233" s="66"/>
      <c r="D233" s="67"/>
      <c r="E233" s="66"/>
      <c r="F233" s="68"/>
      <c r="G233" s="69"/>
      <c r="H233" s="69"/>
      <c r="I233" s="69"/>
      <c r="J233" s="69"/>
      <c r="K233" s="69"/>
      <c r="L233" s="69"/>
      <c r="M233" s="69"/>
      <c r="N233" s="70"/>
      <c r="O233" s="69"/>
      <c r="P233" s="71"/>
      <c r="Q233" s="35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</row>
    <row r="234" customFormat="false" ht="14.25" hidden="false" customHeight="true" outlineLevel="0" collapsed="false">
      <c r="A234" s="65" t="s">
        <v>252</v>
      </c>
      <c r="B234" s="66" t="s">
        <v>51</v>
      </c>
      <c r="C234" s="66" t="s">
        <v>253</v>
      </c>
      <c r="D234" s="67" t="s">
        <v>254</v>
      </c>
      <c r="E234" s="66" t="s">
        <v>85</v>
      </c>
      <c r="F234" s="68" t="n">
        <v>12</v>
      </c>
      <c r="G234" s="69" t="n">
        <f aca="false">ROUND(7.06*(1-$O$10),2)</f>
        <v>7.06</v>
      </c>
      <c r="H234" s="69" t="n">
        <f aca="false">ROUND(18.68*(1-$O$10),2)</f>
        <v>18.68</v>
      </c>
      <c r="I234" s="69" t="n">
        <f aca="false">ROUND(7.98*(1-$O$10),2)</f>
        <v>7.98</v>
      </c>
      <c r="J234" s="69" t="n">
        <f aca="false">ROUND(0*(1-$O$10),2)</f>
        <v>0</v>
      </c>
      <c r="K234" s="69" t="n">
        <f aca="false">ROUND(0*(1-$O$10),2)</f>
        <v>0</v>
      </c>
      <c r="L234" s="69" t="n">
        <f aca="false">$G234+$H234+$I234+$J234+$K234</f>
        <v>33.72</v>
      </c>
      <c r="M234" s="69" t="n">
        <f aca="false">ROUND($F234*$L234,2)</f>
        <v>404.64</v>
      </c>
      <c r="N234" s="70" t="n">
        <f aca="false">$O$11</f>
        <v>0.2158185125</v>
      </c>
      <c r="O234" s="69" t="n">
        <f aca="false">ROUND($M234*(1+$N234),2)</f>
        <v>491.97</v>
      </c>
      <c r="P234" s="71" t="n">
        <f aca="false">$O234/$O$9</f>
        <v>0.00136274950258687</v>
      </c>
      <c r="Q234" s="35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</row>
    <row r="235" customFormat="false" ht="14.25" hidden="false" customHeight="true" outlineLevel="0" collapsed="false">
      <c r="A235" s="65" t="s">
        <v>255</v>
      </c>
      <c r="B235" s="66" t="s">
        <v>69</v>
      </c>
      <c r="C235" s="66" t="n">
        <v>100981</v>
      </c>
      <c r="D235" s="67" t="s">
        <v>256</v>
      </c>
      <c r="E235" s="66" t="s">
        <v>85</v>
      </c>
      <c r="F235" s="68" t="n">
        <v>12</v>
      </c>
      <c r="G235" s="69" t="n">
        <f aca="false">ROUND(2.62*(1-$O$10),2)</f>
        <v>2.62</v>
      </c>
      <c r="H235" s="69" t="n">
        <f aca="false">ROUND(1.84*(1-$O$10),2)</f>
        <v>1.84</v>
      </c>
      <c r="I235" s="69" t="n">
        <f aca="false">ROUND(4.51*(1-$O$10),2)</f>
        <v>4.51</v>
      </c>
      <c r="J235" s="69" t="n">
        <f aca="false">ROUND(0*(1-$O$10),2)</f>
        <v>0</v>
      </c>
      <c r="K235" s="69" t="n">
        <f aca="false">ROUND(0*(1-$O$10),2)</f>
        <v>0</v>
      </c>
      <c r="L235" s="69" t="n">
        <f aca="false">$G235+$H235+$I235+$J235+$K235</f>
        <v>8.97</v>
      </c>
      <c r="M235" s="69" t="n">
        <f aca="false">ROUND($F235*$L235,2)</f>
        <v>107.64</v>
      </c>
      <c r="N235" s="70" t="n">
        <f aca="false">$O$11</f>
        <v>0.2158185125</v>
      </c>
      <c r="O235" s="69" t="n">
        <f aca="false">ROUND($M235*(1+$N235),2)</f>
        <v>130.87</v>
      </c>
      <c r="P235" s="71" t="n">
        <f aca="false">$O235/$O$9</f>
        <v>0.000362507932198191</v>
      </c>
      <c r="Q235" s="35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</row>
    <row r="236" customFormat="false" ht="14.25" hidden="false" customHeight="true" outlineLevel="0" collapsed="false">
      <c r="A236" s="65" t="s">
        <v>257</v>
      </c>
      <c r="B236" s="66" t="s">
        <v>69</v>
      </c>
      <c r="C236" s="66" t="n">
        <v>97914</v>
      </c>
      <c r="D236" s="67" t="s">
        <v>258</v>
      </c>
      <c r="E236" s="66" t="s">
        <v>259</v>
      </c>
      <c r="F236" s="68" t="n">
        <f aca="false">(F235+F234)*30</f>
        <v>720</v>
      </c>
      <c r="G236" s="69" t="n">
        <f aca="false">ROUND(1.04*(1-$O$10),2)</f>
        <v>1.04</v>
      </c>
      <c r="H236" s="69" t="n">
        <f aca="false">ROUND(0.52*(1-$O$10),2)</f>
        <v>0.52</v>
      </c>
      <c r="I236" s="69" t="n">
        <f aca="false">ROUND(1.26*(1-$O$10),2)</f>
        <v>1.26</v>
      </c>
      <c r="J236" s="69" t="n">
        <f aca="false">ROUND(0*(1-$O$10),2)</f>
        <v>0</v>
      </c>
      <c r="K236" s="69" t="n">
        <f aca="false">ROUND(0*(1-$O$10),2)</f>
        <v>0</v>
      </c>
      <c r="L236" s="69" t="n">
        <f aca="false">$G236+$H236+$I236+$J236+$K236</f>
        <v>2.82</v>
      </c>
      <c r="M236" s="69" t="n">
        <f aca="false">ROUND($F236*$L236,2)</f>
        <v>2030.4</v>
      </c>
      <c r="N236" s="70" t="n">
        <f aca="false">$O$11</f>
        <v>0.2158185125</v>
      </c>
      <c r="O236" s="69" t="n">
        <f aca="false">ROUND($M236*(1+$N236),2)</f>
        <v>2468.6</v>
      </c>
      <c r="P236" s="71" t="n">
        <f aca="false">$O236/$O$9</f>
        <v>0.00683798488136667</v>
      </c>
      <c r="Q236" s="35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</row>
    <row r="237" customFormat="false" ht="14.25" hidden="false" customHeight="true" outlineLevel="0" collapsed="false">
      <c r="A237" s="65"/>
      <c r="B237" s="66"/>
      <c r="C237" s="66"/>
      <c r="D237" s="67"/>
      <c r="E237" s="66"/>
      <c r="F237" s="68"/>
      <c r="G237" s="69"/>
      <c r="H237" s="69"/>
      <c r="I237" s="69"/>
      <c r="J237" s="69"/>
      <c r="K237" s="69"/>
      <c r="L237" s="69"/>
      <c r="M237" s="69"/>
      <c r="N237" s="70"/>
      <c r="O237" s="69"/>
      <c r="P237" s="71"/>
      <c r="Q237" s="35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</row>
    <row r="238" customFormat="false" ht="14.25" hidden="false" customHeight="true" outlineLevel="0" collapsed="false">
      <c r="A238" s="80"/>
      <c r="B238" s="81"/>
      <c r="C238" s="81"/>
      <c r="D238" s="82" t="str">
        <f aca="false">CONCATENATE("SUBTOTAL ITEM: ", $D$232)</f>
        <v>SUBTOTAL ITEM: SERVIÇOS FINAIS</v>
      </c>
      <c r="E238" s="81"/>
      <c r="F238" s="83"/>
      <c r="G238" s="84"/>
      <c r="H238" s="84"/>
      <c r="I238" s="84"/>
      <c r="J238" s="84"/>
      <c r="K238" s="84"/>
      <c r="L238" s="84"/>
      <c r="M238" s="84" t="n">
        <f aca="false">$M232</f>
        <v>2542.68</v>
      </c>
      <c r="N238" s="85"/>
      <c r="O238" s="84" t="n">
        <f aca="false">$O232</f>
        <v>3091.44</v>
      </c>
      <c r="P238" s="86" t="n">
        <f aca="false">$P232</f>
        <v>0.00856324231615173</v>
      </c>
      <c r="Q238" s="35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</row>
    <row r="239" customFormat="false" ht="14.25" hidden="false" customHeight="true" outlineLevel="0" collapsed="false">
      <c r="A239" s="65"/>
      <c r="B239" s="66"/>
      <c r="C239" s="66"/>
      <c r="D239" s="67"/>
      <c r="E239" s="66"/>
      <c r="F239" s="68"/>
      <c r="G239" s="69"/>
      <c r="H239" s="69"/>
      <c r="I239" s="69"/>
      <c r="J239" s="69"/>
      <c r="K239" s="69"/>
      <c r="L239" s="69"/>
      <c r="M239" s="69"/>
      <c r="N239" s="70"/>
      <c r="O239" s="69"/>
      <c r="P239" s="71"/>
      <c r="Q239" s="35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</row>
    <row r="240" customFormat="false" ht="14.25" hidden="false" customHeight="true" outlineLevel="0" collapsed="false">
      <c r="A240" s="79"/>
      <c r="B240" s="73"/>
      <c r="C240" s="73"/>
      <c r="D240" s="74" t="str">
        <f aca="false">CONCATENATE("SUBTOTAL ITEM: ", $D$230)</f>
        <v>SUBTOTAL ITEM: SERVIÇOS COMPLEMENTARES</v>
      </c>
      <c r="E240" s="73"/>
      <c r="F240" s="75"/>
      <c r="G240" s="76"/>
      <c r="H240" s="76"/>
      <c r="I240" s="76"/>
      <c r="J240" s="76"/>
      <c r="K240" s="76"/>
      <c r="L240" s="76"/>
      <c r="M240" s="76" t="n">
        <f aca="false">$M230</f>
        <v>2542.68</v>
      </c>
      <c r="N240" s="77"/>
      <c r="O240" s="76" t="n">
        <f aca="false">$O230</f>
        <v>3091.44</v>
      </c>
      <c r="P240" s="78" t="n">
        <f aca="false">$P230</f>
        <v>0.00856324231615173</v>
      </c>
      <c r="Q240" s="35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</row>
    <row r="241" customFormat="false" ht="14.25" hidden="false" customHeight="true" outlineLevel="0" collapsed="false">
      <c r="A241" s="65"/>
      <c r="B241" s="66"/>
      <c r="C241" s="66"/>
      <c r="D241" s="67"/>
      <c r="E241" s="66"/>
      <c r="F241" s="68"/>
      <c r="G241" s="69"/>
      <c r="H241" s="69"/>
      <c r="I241" s="69"/>
      <c r="J241" s="69"/>
      <c r="K241" s="69"/>
      <c r="L241" s="69"/>
      <c r="M241" s="69"/>
      <c r="N241" s="70"/>
      <c r="O241" s="69"/>
      <c r="P241" s="71"/>
      <c r="Q241" s="35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</row>
    <row r="242" customFormat="false" ht="14.25" hidden="false" customHeight="true" outlineLevel="0" collapsed="false">
      <c r="A242" s="109"/>
      <c r="B242" s="110"/>
      <c r="C242" s="110"/>
      <c r="D242" s="111" t="s">
        <v>260</v>
      </c>
      <c r="E242" s="110"/>
      <c r="F242" s="112"/>
      <c r="G242" s="113"/>
      <c r="H242" s="113"/>
      <c r="I242" s="113"/>
      <c r="J242" s="113"/>
      <c r="K242" s="113"/>
      <c r="L242" s="113"/>
      <c r="M242" s="113" t="n">
        <f aca="false">SUMIFS($M15:$M241, $B15:$B241, "&lt;&gt;")</f>
        <v>296929.84</v>
      </c>
      <c r="N242" s="114"/>
      <c r="O242" s="113" t="n">
        <f aca="false">SUMIFS($O15:$O241, $B15:$B241, "&lt;&gt;")</f>
        <v>361012.79</v>
      </c>
      <c r="P242" s="115" t="n">
        <f aca="false">SUMIFS($P15:$P241, $B15:$B241, "&lt;&gt;")</f>
        <v>0.999999999999999</v>
      </c>
      <c r="Q242" s="35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</row>
    <row r="243" customFormat="false" ht="14.25" hidden="false" customHeight="true" outlineLevel="0" collapsed="false">
      <c r="A243" s="116"/>
      <c r="B243" s="19"/>
      <c r="C243" s="19"/>
      <c r="D243" s="36"/>
      <c r="E243" s="19"/>
      <c r="F243" s="37"/>
      <c r="G243" s="38"/>
      <c r="H243" s="38"/>
      <c r="I243" s="38"/>
      <c r="J243" s="38"/>
      <c r="K243" s="38"/>
      <c r="L243" s="38"/>
      <c r="M243" s="38"/>
      <c r="N243" s="39"/>
      <c r="O243" s="38"/>
      <c r="P243" s="30"/>
      <c r="Q243" s="35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</row>
    <row r="244" customFormat="false" ht="14.25" hidden="false" customHeight="true" outlineLevel="0" collapsed="false">
      <c r="A244" s="116"/>
      <c r="B244" s="19"/>
      <c r="C244" s="19"/>
      <c r="D244" s="36"/>
      <c r="E244" s="19"/>
      <c r="F244" s="37"/>
      <c r="G244" s="38"/>
      <c r="H244" s="38"/>
      <c r="I244" s="38"/>
      <c r="J244" s="38"/>
      <c r="K244" s="38"/>
      <c r="L244" s="38"/>
      <c r="M244" s="38"/>
      <c r="N244" s="39"/>
      <c r="O244" s="38"/>
      <c r="P244" s="30"/>
      <c r="Q244" s="35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</row>
    <row r="245" customFormat="false" ht="14.25" hidden="false" customHeight="true" outlineLevel="0" collapsed="false">
      <c r="A245" s="116"/>
      <c r="B245" s="19"/>
      <c r="C245" s="19"/>
      <c r="D245" s="36"/>
      <c r="E245" s="19"/>
      <c r="F245" s="37"/>
      <c r="G245" s="38"/>
      <c r="H245" s="38"/>
      <c r="I245" s="38"/>
      <c r="J245" s="38"/>
      <c r="K245" s="38"/>
      <c r="L245" s="38"/>
      <c r="M245" s="38"/>
      <c r="N245" s="39"/>
      <c r="O245" s="38"/>
      <c r="P245" s="30"/>
      <c r="Q245" s="35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</row>
    <row r="246" customFormat="false" ht="14.25" hidden="false" customHeight="true" outlineLevel="0" collapsed="false">
      <c r="A246" s="116"/>
      <c r="B246" s="19"/>
      <c r="C246" s="19"/>
      <c r="D246" s="36"/>
      <c r="E246" s="19"/>
      <c r="F246" s="37"/>
      <c r="G246" s="38"/>
      <c r="H246" s="38"/>
      <c r="I246" s="38"/>
      <c r="J246" s="38"/>
      <c r="K246" s="38"/>
      <c r="L246" s="38"/>
      <c r="M246" s="38"/>
      <c r="N246" s="39"/>
      <c r="O246" s="38"/>
      <c r="P246" s="30"/>
      <c r="Q246" s="35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</row>
    <row r="247" customFormat="false" ht="14.25" hidden="false" customHeight="true" outlineLevel="0" collapsed="false">
      <c r="A247" s="116"/>
      <c r="B247" s="19"/>
      <c r="C247" s="19"/>
      <c r="D247" s="36"/>
      <c r="E247" s="19"/>
      <c r="F247" s="37"/>
      <c r="G247" s="38"/>
      <c r="H247" s="38"/>
      <c r="I247" s="38"/>
      <c r="J247" s="38"/>
      <c r="K247" s="38"/>
      <c r="L247" s="38"/>
      <c r="M247" s="38"/>
      <c r="N247" s="39"/>
      <c r="O247" s="38"/>
      <c r="P247" s="30"/>
      <c r="Q247" s="35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</row>
    <row r="248" customFormat="false" ht="14.25" hidden="false" customHeight="true" outlineLevel="0" collapsed="false">
      <c r="A248" s="116"/>
      <c r="B248" s="19"/>
      <c r="C248" s="19"/>
      <c r="D248" s="36"/>
      <c r="E248" s="19"/>
      <c r="F248" s="37"/>
      <c r="G248" s="38"/>
      <c r="H248" s="38"/>
      <c r="I248" s="38"/>
      <c r="J248" s="38"/>
      <c r="K248" s="38"/>
      <c r="L248" s="38"/>
      <c r="M248" s="38"/>
      <c r="N248" s="39"/>
      <c r="O248" s="38"/>
      <c r="P248" s="30"/>
      <c r="Q248" s="35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</row>
    <row r="249" customFormat="false" ht="14.25" hidden="false" customHeight="true" outlineLevel="0" collapsed="false">
      <c r="A249" s="116"/>
      <c r="B249" s="19"/>
      <c r="C249" s="19"/>
      <c r="D249" s="36"/>
      <c r="E249" s="19"/>
      <c r="F249" s="37"/>
      <c r="G249" s="38"/>
      <c r="H249" s="38"/>
      <c r="I249" s="38"/>
      <c r="J249" s="38"/>
      <c r="K249" s="38"/>
      <c r="L249" s="38"/>
      <c r="M249" s="38"/>
      <c r="N249" s="39"/>
      <c r="O249" s="38"/>
      <c r="P249" s="30"/>
      <c r="Q249" s="35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</row>
    <row r="250" customFormat="false" ht="14.25" hidden="false" customHeight="true" outlineLevel="0" collapsed="false">
      <c r="A250" s="116"/>
      <c r="B250" s="19"/>
      <c r="C250" s="19"/>
      <c r="D250" s="36"/>
      <c r="E250" s="19"/>
      <c r="F250" s="37"/>
      <c r="G250" s="38"/>
      <c r="H250" s="38"/>
      <c r="I250" s="38"/>
      <c r="J250" s="38"/>
      <c r="K250" s="38"/>
      <c r="L250" s="38"/>
      <c r="M250" s="38"/>
      <c r="N250" s="39"/>
      <c r="O250" s="38"/>
      <c r="P250" s="30"/>
      <c r="Q250" s="35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</row>
    <row r="251" customFormat="false" ht="14.25" hidden="false" customHeight="true" outlineLevel="0" collapsed="false">
      <c r="A251" s="116"/>
      <c r="B251" s="19"/>
      <c r="C251" s="19"/>
      <c r="D251" s="36"/>
      <c r="E251" s="19"/>
      <c r="F251" s="37"/>
      <c r="G251" s="38"/>
      <c r="H251" s="38"/>
      <c r="I251" s="38"/>
      <c r="J251" s="38"/>
      <c r="K251" s="38"/>
      <c r="L251" s="38"/>
      <c r="M251" s="38"/>
      <c r="N251" s="39"/>
      <c r="O251" s="38"/>
      <c r="P251" s="30"/>
      <c r="Q251" s="35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31"/>
      <c r="AJ251" s="31"/>
    </row>
    <row r="252" customFormat="false" ht="14.25" hidden="false" customHeight="true" outlineLevel="0" collapsed="false">
      <c r="A252" s="116"/>
      <c r="B252" s="19"/>
      <c r="C252" s="19"/>
      <c r="D252" s="36"/>
      <c r="E252" s="19"/>
      <c r="F252" s="37"/>
      <c r="G252" s="38"/>
      <c r="H252" s="38"/>
      <c r="I252" s="38"/>
      <c r="J252" s="38"/>
      <c r="K252" s="38"/>
      <c r="L252" s="38"/>
      <c r="M252" s="38"/>
      <c r="N252" s="39"/>
      <c r="O252" s="38"/>
      <c r="P252" s="30"/>
      <c r="Q252" s="35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</row>
    <row r="253" customFormat="false" ht="14.25" hidden="false" customHeight="true" outlineLevel="0" collapsed="false">
      <c r="A253" s="116"/>
      <c r="B253" s="19"/>
      <c r="C253" s="19"/>
      <c r="D253" s="36"/>
      <c r="E253" s="19"/>
      <c r="F253" s="37"/>
      <c r="G253" s="38"/>
      <c r="H253" s="38"/>
      <c r="I253" s="38"/>
      <c r="J253" s="38"/>
      <c r="K253" s="38"/>
      <c r="L253" s="38"/>
      <c r="M253" s="38"/>
      <c r="N253" s="39"/>
      <c r="O253" s="38"/>
      <c r="P253" s="30"/>
      <c r="Q253" s="35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</row>
    <row r="254" customFormat="false" ht="14.25" hidden="false" customHeight="true" outlineLevel="0" collapsed="false">
      <c r="A254" s="116"/>
      <c r="B254" s="19"/>
      <c r="C254" s="19"/>
      <c r="D254" s="36"/>
      <c r="E254" s="19"/>
      <c r="F254" s="37"/>
      <c r="G254" s="38"/>
      <c r="H254" s="38"/>
      <c r="I254" s="38"/>
      <c r="J254" s="38"/>
      <c r="K254" s="38"/>
      <c r="L254" s="38"/>
      <c r="M254" s="38"/>
      <c r="N254" s="39"/>
      <c r="O254" s="38"/>
      <c r="P254" s="30"/>
      <c r="Q254" s="35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</row>
    <row r="255" customFormat="false" ht="14.25" hidden="false" customHeight="true" outlineLevel="0" collapsed="false">
      <c r="A255" s="116"/>
      <c r="B255" s="19"/>
      <c r="C255" s="19"/>
      <c r="D255" s="36"/>
      <c r="E255" s="19"/>
      <c r="F255" s="37"/>
      <c r="G255" s="38"/>
      <c r="H255" s="38"/>
      <c r="I255" s="38"/>
      <c r="J255" s="38"/>
      <c r="K255" s="38"/>
      <c r="L255" s="38"/>
      <c r="M255" s="38"/>
      <c r="N255" s="39"/>
      <c r="O255" s="38"/>
      <c r="P255" s="30"/>
      <c r="Q255" s="35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</row>
    <row r="256" customFormat="false" ht="14.25" hidden="false" customHeight="true" outlineLevel="0" collapsed="false">
      <c r="A256" s="116"/>
      <c r="B256" s="19"/>
      <c r="C256" s="19"/>
      <c r="D256" s="36"/>
      <c r="E256" s="19"/>
      <c r="F256" s="37"/>
      <c r="G256" s="38"/>
      <c r="H256" s="38"/>
      <c r="I256" s="38"/>
      <c r="J256" s="38"/>
      <c r="K256" s="38"/>
      <c r="L256" s="38"/>
      <c r="M256" s="38"/>
      <c r="N256" s="39"/>
      <c r="O256" s="38"/>
      <c r="P256" s="30"/>
      <c r="Q256" s="35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31"/>
      <c r="AH256" s="31"/>
      <c r="AI256" s="31"/>
      <c r="AJ256" s="31"/>
    </row>
    <row r="257" customFormat="false" ht="14.25" hidden="false" customHeight="true" outlineLevel="0" collapsed="false">
      <c r="A257" s="116"/>
      <c r="B257" s="19"/>
      <c r="C257" s="19"/>
      <c r="D257" s="36"/>
      <c r="E257" s="19"/>
      <c r="F257" s="37"/>
      <c r="G257" s="38"/>
      <c r="H257" s="38"/>
      <c r="I257" s="38"/>
      <c r="J257" s="38"/>
      <c r="K257" s="38"/>
      <c r="L257" s="38"/>
      <c r="M257" s="38"/>
      <c r="N257" s="39"/>
      <c r="O257" s="38"/>
      <c r="P257" s="30"/>
      <c r="Q257" s="35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</row>
    <row r="258" customFormat="false" ht="14.25" hidden="false" customHeight="true" outlineLevel="0" collapsed="false">
      <c r="A258" s="116"/>
      <c r="B258" s="19"/>
      <c r="C258" s="19"/>
      <c r="D258" s="36"/>
      <c r="E258" s="19"/>
      <c r="F258" s="37"/>
      <c r="G258" s="38"/>
      <c r="H258" s="38"/>
      <c r="I258" s="38"/>
      <c r="J258" s="38"/>
      <c r="K258" s="38"/>
      <c r="L258" s="38"/>
      <c r="M258" s="38"/>
      <c r="N258" s="39"/>
      <c r="O258" s="38"/>
      <c r="P258" s="30"/>
      <c r="Q258" s="35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</row>
    <row r="259" customFormat="false" ht="14.25" hidden="false" customHeight="true" outlineLevel="0" collapsed="false">
      <c r="A259" s="116"/>
      <c r="B259" s="19"/>
      <c r="C259" s="19"/>
      <c r="D259" s="36"/>
      <c r="E259" s="19"/>
      <c r="F259" s="37"/>
      <c r="G259" s="38"/>
      <c r="H259" s="38"/>
      <c r="I259" s="38"/>
      <c r="J259" s="38"/>
      <c r="K259" s="38"/>
      <c r="L259" s="38"/>
      <c r="M259" s="38"/>
      <c r="N259" s="39"/>
      <c r="O259" s="38"/>
      <c r="P259" s="30"/>
      <c r="Q259" s="35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31"/>
      <c r="AH259" s="31"/>
      <c r="AI259" s="31"/>
      <c r="AJ259" s="31"/>
    </row>
    <row r="260" customFormat="false" ht="14.25" hidden="false" customHeight="true" outlineLevel="0" collapsed="false">
      <c r="A260" s="116"/>
      <c r="B260" s="19"/>
      <c r="C260" s="19"/>
      <c r="D260" s="36"/>
      <c r="E260" s="19"/>
      <c r="F260" s="37"/>
      <c r="G260" s="38"/>
      <c r="H260" s="38"/>
      <c r="I260" s="38"/>
      <c r="J260" s="38"/>
      <c r="K260" s="38"/>
      <c r="L260" s="38"/>
      <c r="M260" s="38"/>
      <c r="N260" s="39"/>
      <c r="O260" s="38"/>
      <c r="P260" s="30"/>
      <c r="Q260" s="35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31"/>
      <c r="AH260" s="31"/>
      <c r="AI260" s="31"/>
      <c r="AJ260" s="31"/>
    </row>
    <row r="261" customFormat="false" ht="14.25" hidden="false" customHeight="true" outlineLevel="0" collapsed="false">
      <c r="A261" s="116"/>
      <c r="B261" s="19"/>
      <c r="C261" s="19"/>
      <c r="D261" s="36"/>
      <c r="E261" s="19"/>
      <c r="F261" s="37"/>
      <c r="G261" s="38"/>
      <c r="H261" s="38"/>
      <c r="I261" s="38"/>
      <c r="J261" s="38"/>
      <c r="K261" s="38"/>
      <c r="L261" s="38"/>
      <c r="M261" s="38"/>
      <c r="N261" s="39"/>
      <c r="O261" s="38"/>
      <c r="P261" s="30"/>
      <c r="Q261" s="35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</row>
    <row r="262" customFormat="false" ht="14.25" hidden="false" customHeight="true" outlineLevel="0" collapsed="false">
      <c r="A262" s="116"/>
      <c r="B262" s="19"/>
      <c r="C262" s="19"/>
      <c r="D262" s="36"/>
      <c r="E262" s="19"/>
      <c r="F262" s="37"/>
      <c r="G262" s="38"/>
      <c r="H262" s="38"/>
      <c r="I262" s="38"/>
      <c r="J262" s="38"/>
      <c r="K262" s="38"/>
      <c r="L262" s="38"/>
      <c r="M262" s="38"/>
      <c r="N262" s="39"/>
      <c r="O262" s="38"/>
      <c r="P262" s="30"/>
      <c r="Q262" s="35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</row>
    <row r="263" customFormat="false" ht="14.25" hidden="false" customHeight="true" outlineLevel="0" collapsed="false">
      <c r="A263" s="116"/>
      <c r="B263" s="19"/>
      <c r="C263" s="19"/>
      <c r="D263" s="36"/>
      <c r="E263" s="19"/>
      <c r="F263" s="37"/>
      <c r="G263" s="38"/>
      <c r="H263" s="38"/>
      <c r="I263" s="38"/>
      <c r="J263" s="38"/>
      <c r="K263" s="38"/>
      <c r="L263" s="38"/>
      <c r="M263" s="38"/>
      <c r="N263" s="39"/>
      <c r="O263" s="38"/>
      <c r="P263" s="30"/>
      <c r="Q263" s="35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31"/>
      <c r="AJ263" s="31"/>
    </row>
    <row r="264" customFormat="false" ht="14.25" hidden="false" customHeight="true" outlineLevel="0" collapsed="false">
      <c r="A264" s="116"/>
      <c r="B264" s="19"/>
      <c r="C264" s="19"/>
      <c r="D264" s="36"/>
      <c r="E264" s="19"/>
      <c r="F264" s="37"/>
      <c r="G264" s="38"/>
      <c r="H264" s="38"/>
      <c r="I264" s="38"/>
      <c r="J264" s="38"/>
      <c r="K264" s="38"/>
      <c r="L264" s="38"/>
      <c r="M264" s="38"/>
      <c r="N264" s="39"/>
      <c r="O264" s="38"/>
      <c r="P264" s="30"/>
      <c r="Q264" s="35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</row>
    <row r="265" customFormat="false" ht="14.25" hidden="false" customHeight="true" outlineLevel="0" collapsed="false">
      <c r="A265" s="116"/>
      <c r="B265" s="19"/>
      <c r="C265" s="19"/>
      <c r="D265" s="36"/>
      <c r="E265" s="19"/>
      <c r="F265" s="37"/>
      <c r="G265" s="38"/>
      <c r="H265" s="38"/>
      <c r="I265" s="38"/>
      <c r="J265" s="38"/>
      <c r="K265" s="38"/>
      <c r="L265" s="38"/>
      <c r="M265" s="38"/>
      <c r="N265" s="39"/>
      <c r="O265" s="38"/>
      <c r="P265" s="30"/>
      <c r="Q265" s="35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1"/>
      <c r="AI265" s="31"/>
      <c r="AJ265" s="31"/>
    </row>
    <row r="266" customFormat="false" ht="14.25" hidden="false" customHeight="true" outlineLevel="0" collapsed="false">
      <c r="A266" s="116"/>
      <c r="B266" s="19"/>
      <c r="C266" s="19"/>
      <c r="D266" s="36"/>
      <c r="E266" s="19"/>
      <c r="F266" s="37"/>
      <c r="G266" s="38"/>
      <c r="H266" s="38"/>
      <c r="I266" s="38"/>
      <c r="J266" s="38"/>
      <c r="K266" s="38"/>
      <c r="L266" s="38"/>
      <c r="M266" s="38"/>
      <c r="N266" s="39"/>
      <c r="O266" s="38"/>
      <c r="P266" s="30"/>
      <c r="Q266" s="35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31"/>
      <c r="AJ266" s="31"/>
    </row>
    <row r="267" customFormat="false" ht="14.25" hidden="false" customHeight="true" outlineLevel="0" collapsed="false">
      <c r="A267" s="116"/>
      <c r="B267" s="19"/>
      <c r="C267" s="19"/>
      <c r="D267" s="36"/>
      <c r="E267" s="19"/>
      <c r="F267" s="37"/>
      <c r="G267" s="38"/>
      <c r="H267" s="38"/>
      <c r="I267" s="38"/>
      <c r="J267" s="38"/>
      <c r="K267" s="38"/>
      <c r="L267" s="38"/>
      <c r="M267" s="38"/>
      <c r="N267" s="39"/>
      <c r="O267" s="38"/>
      <c r="P267" s="30"/>
      <c r="Q267" s="35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1"/>
      <c r="AI267" s="31"/>
      <c r="AJ267" s="31"/>
    </row>
    <row r="268" customFormat="false" ht="14.25" hidden="false" customHeight="true" outlineLevel="0" collapsed="false">
      <c r="A268" s="116"/>
      <c r="B268" s="19"/>
      <c r="C268" s="19"/>
      <c r="D268" s="36"/>
      <c r="E268" s="19"/>
      <c r="F268" s="37"/>
      <c r="G268" s="38"/>
      <c r="H268" s="38"/>
      <c r="I268" s="38"/>
      <c r="J268" s="38"/>
      <c r="K268" s="38"/>
      <c r="L268" s="38"/>
      <c r="M268" s="38"/>
      <c r="N268" s="39"/>
      <c r="O268" s="38"/>
      <c r="P268" s="30"/>
      <c r="Q268" s="35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</row>
    <row r="269" customFormat="false" ht="14.25" hidden="false" customHeight="true" outlineLevel="0" collapsed="false">
      <c r="A269" s="116"/>
      <c r="B269" s="19"/>
      <c r="C269" s="19"/>
      <c r="D269" s="36"/>
      <c r="E269" s="19"/>
      <c r="F269" s="37"/>
      <c r="G269" s="38"/>
      <c r="H269" s="38"/>
      <c r="I269" s="38"/>
      <c r="J269" s="38"/>
      <c r="K269" s="38"/>
      <c r="L269" s="38"/>
      <c r="M269" s="38"/>
      <c r="N269" s="39"/>
      <c r="O269" s="38"/>
      <c r="P269" s="30"/>
      <c r="Q269" s="35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31"/>
      <c r="AJ269" s="31"/>
    </row>
    <row r="270" customFormat="false" ht="14.25" hidden="false" customHeight="true" outlineLevel="0" collapsed="false">
      <c r="A270" s="116"/>
      <c r="B270" s="19"/>
      <c r="C270" s="19"/>
      <c r="D270" s="36"/>
      <c r="E270" s="19"/>
      <c r="F270" s="37"/>
      <c r="G270" s="38"/>
      <c r="H270" s="38"/>
      <c r="I270" s="38"/>
      <c r="J270" s="38"/>
      <c r="K270" s="38"/>
      <c r="L270" s="38"/>
      <c r="M270" s="38"/>
      <c r="N270" s="39"/>
      <c r="O270" s="38"/>
      <c r="P270" s="30"/>
      <c r="Q270" s="35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1"/>
      <c r="AI270" s="31"/>
      <c r="AJ270" s="31"/>
    </row>
    <row r="271" customFormat="false" ht="14.25" hidden="false" customHeight="true" outlineLevel="0" collapsed="false">
      <c r="A271" s="116"/>
      <c r="B271" s="19"/>
      <c r="C271" s="19"/>
      <c r="D271" s="36"/>
      <c r="E271" s="19"/>
      <c r="F271" s="37"/>
      <c r="G271" s="38"/>
      <c r="H271" s="38"/>
      <c r="I271" s="38"/>
      <c r="J271" s="38"/>
      <c r="K271" s="38"/>
      <c r="L271" s="38"/>
      <c r="M271" s="38"/>
      <c r="N271" s="39"/>
      <c r="O271" s="38"/>
      <c r="P271" s="30"/>
      <c r="Q271" s="35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31"/>
      <c r="AJ271" s="31"/>
    </row>
    <row r="272" customFormat="false" ht="14.25" hidden="false" customHeight="true" outlineLevel="0" collapsed="false">
      <c r="A272" s="116"/>
      <c r="B272" s="19"/>
      <c r="C272" s="19"/>
      <c r="D272" s="36"/>
      <c r="E272" s="19"/>
      <c r="F272" s="37"/>
      <c r="G272" s="38"/>
      <c r="H272" s="38"/>
      <c r="I272" s="38"/>
      <c r="J272" s="38"/>
      <c r="K272" s="38"/>
      <c r="L272" s="38"/>
      <c r="M272" s="38"/>
      <c r="N272" s="39"/>
      <c r="O272" s="38"/>
      <c r="P272" s="30"/>
      <c r="Q272" s="35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</row>
    <row r="273" customFormat="false" ht="14.25" hidden="false" customHeight="true" outlineLevel="0" collapsed="false">
      <c r="A273" s="116"/>
      <c r="B273" s="19"/>
      <c r="C273" s="19"/>
      <c r="D273" s="36"/>
      <c r="E273" s="19"/>
      <c r="F273" s="37"/>
      <c r="G273" s="38"/>
      <c r="H273" s="38"/>
      <c r="I273" s="38"/>
      <c r="J273" s="38"/>
      <c r="K273" s="38"/>
      <c r="L273" s="38"/>
      <c r="M273" s="38"/>
      <c r="N273" s="39"/>
      <c r="O273" s="38"/>
      <c r="P273" s="30"/>
      <c r="Q273" s="35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31"/>
      <c r="AH273" s="31"/>
      <c r="AI273" s="31"/>
      <c r="AJ273" s="31"/>
    </row>
    <row r="274" customFormat="false" ht="14.25" hidden="false" customHeight="true" outlineLevel="0" collapsed="false">
      <c r="A274" s="116"/>
      <c r="B274" s="19"/>
      <c r="C274" s="19"/>
      <c r="D274" s="36"/>
      <c r="E274" s="19"/>
      <c r="F274" s="37"/>
      <c r="G274" s="38"/>
      <c r="H274" s="38"/>
      <c r="I274" s="38"/>
      <c r="J274" s="38"/>
      <c r="K274" s="38"/>
      <c r="L274" s="38"/>
      <c r="M274" s="38"/>
      <c r="N274" s="39"/>
      <c r="O274" s="38"/>
      <c r="P274" s="30"/>
      <c r="Q274" s="35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31"/>
      <c r="AJ274" s="31"/>
    </row>
    <row r="275" customFormat="false" ht="14.25" hidden="false" customHeight="true" outlineLevel="0" collapsed="false">
      <c r="A275" s="116"/>
      <c r="B275" s="19"/>
      <c r="C275" s="19"/>
      <c r="D275" s="36"/>
      <c r="E275" s="19"/>
      <c r="F275" s="37"/>
      <c r="G275" s="38"/>
      <c r="H275" s="38"/>
      <c r="I275" s="38"/>
      <c r="J275" s="38"/>
      <c r="K275" s="38"/>
      <c r="L275" s="38"/>
      <c r="M275" s="38"/>
      <c r="N275" s="39"/>
      <c r="O275" s="38"/>
      <c r="P275" s="30"/>
      <c r="Q275" s="35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</row>
    <row r="276" customFormat="false" ht="14.25" hidden="false" customHeight="true" outlineLevel="0" collapsed="false">
      <c r="A276" s="116"/>
      <c r="B276" s="19"/>
      <c r="C276" s="19"/>
      <c r="D276" s="36"/>
      <c r="E276" s="19"/>
      <c r="F276" s="37"/>
      <c r="G276" s="38"/>
      <c r="H276" s="38"/>
      <c r="I276" s="38"/>
      <c r="J276" s="38"/>
      <c r="K276" s="38"/>
      <c r="L276" s="38"/>
      <c r="M276" s="38"/>
      <c r="N276" s="39"/>
      <c r="O276" s="38"/>
      <c r="P276" s="30"/>
      <c r="Q276" s="35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1"/>
      <c r="AI276" s="31"/>
      <c r="AJ276" s="31"/>
    </row>
    <row r="277" customFormat="false" ht="14.25" hidden="false" customHeight="true" outlineLevel="0" collapsed="false">
      <c r="A277" s="116"/>
      <c r="B277" s="19"/>
      <c r="C277" s="19"/>
      <c r="D277" s="36"/>
      <c r="E277" s="19"/>
      <c r="F277" s="37"/>
      <c r="G277" s="38"/>
      <c r="H277" s="38"/>
      <c r="I277" s="38"/>
      <c r="J277" s="38"/>
      <c r="K277" s="38"/>
      <c r="L277" s="38"/>
      <c r="M277" s="38"/>
      <c r="N277" s="39"/>
      <c r="O277" s="38"/>
      <c r="P277" s="30"/>
      <c r="Q277" s="35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31"/>
      <c r="AH277" s="31"/>
      <c r="AI277" s="31"/>
      <c r="AJ277" s="31"/>
    </row>
    <row r="278" customFormat="false" ht="14.25" hidden="false" customHeight="true" outlineLevel="0" collapsed="false">
      <c r="A278" s="116"/>
      <c r="B278" s="19"/>
      <c r="C278" s="19"/>
      <c r="D278" s="36"/>
      <c r="E278" s="19"/>
      <c r="F278" s="37"/>
      <c r="G278" s="38"/>
      <c r="H278" s="38"/>
      <c r="I278" s="38"/>
      <c r="J278" s="38"/>
      <c r="K278" s="38"/>
      <c r="L278" s="38"/>
      <c r="M278" s="38"/>
      <c r="N278" s="39"/>
      <c r="O278" s="38"/>
      <c r="P278" s="30"/>
      <c r="Q278" s="35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</row>
    <row r="279" customFormat="false" ht="14.25" hidden="false" customHeight="true" outlineLevel="0" collapsed="false">
      <c r="A279" s="116"/>
      <c r="B279" s="19"/>
      <c r="C279" s="19"/>
      <c r="D279" s="36"/>
      <c r="E279" s="19"/>
      <c r="F279" s="37"/>
      <c r="G279" s="38"/>
      <c r="H279" s="38"/>
      <c r="I279" s="38"/>
      <c r="J279" s="38"/>
      <c r="K279" s="38"/>
      <c r="L279" s="38"/>
      <c r="M279" s="38"/>
      <c r="N279" s="39"/>
      <c r="O279" s="38"/>
      <c r="P279" s="30"/>
      <c r="Q279" s="35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31"/>
      <c r="AJ279" s="31"/>
    </row>
    <row r="280" customFormat="false" ht="14.25" hidden="false" customHeight="true" outlineLevel="0" collapsed="false">
      <c r="A280" s="116"/>
      <c r="B280" s="19"/>
      <c r="C280" s="19"/>
      <c r="D280" s="36"/>
      <c r="E280" s="19"/>
      <c r="F280" s="37"/>
      <c r="G280" s="38"/>
      <c r="H280" s="38"/>
      <c r="I280" s="38"/>
      <c r="J280" s="38"/>
      <c r="K280" s="38"/>
      <c r="L280" s="38"/>
      <c r="M280" s="38"/>
      <c r="N280" s="39"/>
      <c r="O280" s="38"/>
      <c r="P280" s="30"/>
      <c r="Q280" s="35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1"/>
      <c r="AI280" s="31"/>
      <c r="AJ280" s="31"/>
    </row>
    <row r="281" customFormat="false" ht="14.25" hidden="false" customHeight="true" outlineLevel="0" collapsed="false">
      <c r="A281" s="116"/>
      <c r="B281" s="19"/>
      <c r="C281" s="19"/>
      <c r="D281" s="36"/>
      <c r="E281" s="19"/>
      <c r="F281" s="37"/>
      <c r="G281" s="38"/>
      <c r="H281" s="38"/>
      <c r="I281" s="38"/>
      <c r="J281" s="38"/>
      <c r="K281" s="38"/>
      <c r="L281" s="38"/>
      <c r="M281" s="38"/>
      <c r="N281" s="39"/>
      <c r="O281" s="38"/>
      <c r="P281" s="30"/>
      <c r="Q281" s="35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31"/>
      <c r="AH281" s="31"/>
      <c r="AI281" s="31"/>
      <c r="AJ281" s="31"/>
    </row>
    <row r="282" customFormat="false" ht="14.25" hidden="false" customHeight="true" outlineLevel="0" collapsed="false">
      <c r="A282" s="116"/>
      <c r="B282" s="19"/>
      <c r="C282" s="19"/>
      <c r="D282" s="36"/>
      <c r="E282" s="19"/>
      <c r="F282" s="37"/>
      <c r="G282" s="38"/>
      <c r="H282" s="38"/>
      <c r="I282" s="38"/>
      <c r="J282" s="38"/>
      <c r="K282" s="38"/>
      <c r="L282" s="38"/>
      <c r="M282" s="38"/>
      <c r="N282" s="39"/>
      <c r="O282" s="38"/>
      <c r="P282" s="30"/>
      <c r="Q282" s="35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</row>
    <row r="283" customFormat="false" ht="14.25" hidden="false" customHeight="true" outlineLevel="0" collapsed="false">
      <c r="A283" s="116"/>
      <c r="B283" s="19"/>
      <c r="C283" s="19"/>
      <c r="D283" s="36"/>
      <c r="E283" s="19"/>
      <c r="F283" s="37"/>
      <c r="G283" s="38"/>
      <c r="H283" s="38"/>
      <c r="I283" s="38"/>
      <c r="J283" s="38"/>
      <c r="K283" s="38"/>
      <c r="L283" s="38"/>
      <c r="M283" s="38"/>
      <c r="N283" s="39"/>
      <c r="O283" s="38"/>
      <c r="P283" s="30"/>
      <c r="Q283" s="35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31"/>
      <c r="AH283" s="31"/>
      <c r="AI283" s="31"/>
      <c r="AJ283" s="31"/>
    </row>
    <row r="284" customFormat="false" ht="14.25" hidden="false" customHeight="true" outlineLevel="0" collapsed="false">
      <c r="A284" s="116"/>
      <c r="B284" s="19"/>
      <c r="C284" s="19"/>
      <c r="D284" s="36"/>
      <c r="E284" s="19"/>
      <c r="F284" s="37"/>
      <c r="G284" s="38"/>
      <c r="H284" s="38"/>
      <c r="I284" s="38"/>
      <c r="J284" s="38"/>
      <c r="K284" s="38"/>
      <c r="L284" s="38"/>
      <c r="M284" s="38"/>
      <c r="N284" s="39"/>
      <c r="O284" s="38"/>
      <c r="P284" s="30"/>
      <c r="Q284" s="35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31"/>
      <c r="AH284" s="31"/>
      <c r="AI284" s="31"/>
      <c r="AJ284" s="31"/>
    </row>
    <row r="285" customFormat="false" ht="14.25" hidden="false" customHeight="true" outlineLevel="0" collapsed="false">
      <c r="A285" s="116"/>
      <c r="B285" s="19"/>
      <c r="C285" s="19"/>
      <c r="D285" s="36"/>
      <c r="E285" s="19"/>
      <c r="F285" s="37"/>
      <c r="G285" s="38"/>
      <c r="H285" s="38"/>
      <c r="I285" s="38"/>
      <c r="J285" s="38"/>
      <c r="K285" s="38"/>
      <c r="L285" s="38"/>
      <c r="M285" s="38"/>
      <c r="N285" s="39"/>
      <c r="O285" s="38"/>
      <c r="P285" s="30"/>
      <c r="Q285" s="35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31"/>
      <c r="AH285" s="31"/>
      <c r="AI285" s="31"/>
      <c r="AJ285" s="31"/>
    </row>
    <row r="286" customFormat="false" ht="14.25" hidden="false" customHeight="true" outlineLevel="0" collapsed="false">
      <c r="A286" s="116"/>
      <c r="B286" s="19"/>
      <c r="C286" s="19"/>
      <c r="D286" s="36"/>
      <c r="E286" s="19"/>
      <c r="F286" s="37"/>
      <c r="G286" s="38"/>
      <c r="H286" s="38"/>
      <c r="I286" s="38"/>
      <c r="J286" s="38"/>
      <c r="K286" s="38"/>
      <c r="L286" s="38"/>
      <c r="M286" s="38"/>
      <c r="N286" s="39"/>
      <c r="O286" s="38"/>
      <c r="P286" s="30"/>
      <c r="Q286" s="35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31"/>
      <c r="AH286" s="31"/>
      <c r="AI286" s="31"/>
      <c r="AJ286" s="31"/>
    </row>
    <row r="287" customFormat="false" ht="14.25" hidden="false" customHeight="true" outlineLevel="0" collapsed="false">
      <c r="A287" s="116"/>
      <c r="B287" s="19"/>
      <c r="C287" s="19"/>
      <c r="D287" s="36"/>
      <c r="E287" s="19"/>
      <c r="F287" s="37"/>
      <c r="G287" s="38"/>
      <c r="H287" s="38"/>
      <c r="I287" s="38"/>
      <c r="J287" s="38"/>
      <c r="K287" s="38"/>
      <c r="L287" s="38"/>
      <c r="M287" s="38"/>
      <c r="N287" s="39"/>
      <c r="O287" s="38"/>
      <c r="P287" s="30"/>
      <c r="Q287" s="35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</row>
    <row r="288" customFormat="false" ht="14.25" hidden="false" customHeight="true" outlineLevel="0" collapsed="false">
      <c r="A288" s="116"/>
      <c r="B288" s="19"/>
      <c r="C288" s="19"/>
      <c r="D288" s="36"/>
      <c r="E288" s="19"/>
      <c r="F288" s="37"/>
      <c r="G288" s="38"/>
      <c r="H288" s="38"/>
      <c r="I288" s="38"/>
      <c r="J288" s="38"/>
      <c r="K288" s="38"/>
      <c r="L288" s="38"/>
      <c r="M288" s="38"/>
      <c r="N288" s="39"/>
      <c r="O288" s="38"/>
      <c r="P288" s="30"/>
      <c r="Q288" s="35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</row>
    <row r="289" customFormat="false" ht="14.25" hidden="false" customHeight="true" outlineLevel="0" collapsed="false">
      <c r="A289" s="116"/>
      <c r="B289" s="19"/>
      <c r="C289" s="19"/>
      <c r="D289" s="36"/>
      <c r="E289" s="19"/>
      <c r="F289" s="37"/>
      <c r="G289" s="38"/>
      <c r="H289" s="38"/>
      <c r="I289" s="38"/>
      <c r="J289" s="38"/>
      <c r="K289" s="38"/>
      <c r="L289" s="38"/>
      <c r="M289" s="38"/>
      <c r="N289" s="39"/>
      <c r="O289" s="38"/>
      <c r="P289" s="30"/>
      <c r="Q289" s="35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31"/>
      <c r="AH289" s="31"/>
      <c r="AI289" s="31"/>
      <c r="AJ289" s="31"/>
    </row>
    <row r="290" customFormat="false" ht="14.25" hidden="false" customHeight="true" outlineLevel="0" collapsed="false">
      <c r="A290" s="116"/>
      <c r="B290" s="19"/>
      <c r="C290" s="19"/>
      <c r="D290" s="36"/>
      <c r="E290" s="19"/>
      <c r="F290" s="37"/>
      <c r="G290" s="38"/>
      <c r="H290" s="38"/>
      <c r="I290" s="38"/>
      <c r="J290" s="38"/>
      <c r="K290" s="38"/>
      <c r="L290" s="38"/>
      <c r="M290" s="38"/>
      <c r="N290" s="39"/>
      <c r="O290" s="38"/>
      <c r="P290" s="30"/>
      <c r="Q290" s="35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</row>
    <row r="291" customFormat="false" ht="14.25" hidden="false" customHeight="true" outlineLevel="0" collapsed="false">
      <c r="A291" s="116"/>
      <c r="B291" s="19"/>
      <c r="C291" s="19"/>
      <c r="D291" s="36"/>
      <c r="E291" s="19"/>
      <c r="F291" s="37"/>
      <c r="G291" s="38"/>
      <c r="H291" s="38"/>
      <c r="I291" s="38"/>
      <c r="J291" s="38"/>
      <c r="K291" s="38"/>
      <c r="L291" s="38"/>
      <c r="M291" s="38"/>
      <c r="N291" s="39"/>
      <c r="O291" s="38"/>
      <c r="P291" s="30"/>
      <c r="Q291" s="35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31"/>
      <c r="AH291" s="31"/>
      <c r="AI291" s="31"/>
      <c r="AJ291" s="31"/>
    </row>
    <row r="292" customFormat="false" ht="14.25" hidden="false" customHeight="true" outlineLevel="0" collapsed="false">
      <c r="A292" s="116"/>
      <c r="B292" s="19"/>
      <c r="C292" s="19"/>
      <c r="D292" s="36"/>
      <c r="E292" s="19"/>
      <c r="F292" s="37"/>
      <c r="G292" s="38"/>
      <c r="H292" s="38"/>
      <c r="I292" s="38"/>
      <c r="J292" s="38"/>
      <c r="K292" s="38"/>
      <c r="L292" s="38"/>
      <c r="M292" s="38"/>
      <c r="N292" s="39"/>
      <c r="O292" s="38"/>
      <c r="P292" s="30"/>
      <c r="Q292" s="35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</row>
    <row r="293" customFormat="false" ht="14.25" hidden="false" customHeight="true" outlineLevel="0" collapsed="false">
      <c r="A293" s="116"/>
      <c r="B293" s="19"/>
      <c r="C293" s="19"/>
      <c r="D293" s="36"/>
      <c r="E293" s="19"/>
      <c r="F293" s="37"/>
      <c r="G293" s="38"/>
      <c r="H293" s="38"/>
      <c r="I293" s="38"/>
      <c r="J293" s="38"/>
      <c r="K293" s="38"/>
      <c r="L293" s="38"/>
      <c r="M293" s="38"/>
      <c r="N293" s="39"/>
      <c r="O293" s="38"/>
      <c r="P293" s="30"/>
      <c r="Q293" s="35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31"/>
      <c r="AH293" s="31"/>
      <c r="AI293" s="31"/>
      <c r="AJ293" s="31"/>
    </row>
    <row r="294" customFormat="false" ht="14.25" hidden="false" customHeight="true" outlineLevel="0" collapsed="false">
      <c r="A294" s="116"/>
      <c r="B294" s="19"/>
      <c r="C294" s="19"/>
      <c r="D294" s="36"/>
      <c r="E294" s="19"/>
      <c r="F294" s="37"/>
      <c r="G294" s="38"/>
      <c r="H294" s="38"/>
      <c r="I294" s="38"/>
      <c r="J294" s="38"/>
      <c r="K294" s="38"/>
      <c r="L294" s="38"/>
      <c r="M294" s="38"/>
      <c r="N294" s="39"/>
      <c r="O294" s="38"/>
      <c r="P294" s="30"/>
      <c r="Q294" s="35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31"/>
      <c r="AH294" s="31"/>
      <c r="AI294" s="31"/>
      <c r="AJ294" s="31"/>
    </row>
    <row r="295" customFormat="false" ht="14.25" hidden="false" customHeight="true" outlineLevel="0" collapsed="false">
      <c r="A295" s="116"/>
      <c r="B295" s="19"/>
      <c r="C295" s="19"/>
      <c r="D295" s="36"/>
      <c r="E295" s="19"/>
      <c r="F295" s="37"/>
      <c r="G295" s="38"/>
      <c r="H295" s="38"/>
      <c r="I295" s="38"/>
      <c r="J295" s="38"/>
      <c r="K295" s="38"/>
      <c r="L295" s="38"/>
      <c r="M295" s="38"/>
      <c r="N295" s="39"/>
      <c r="O295" s="38"/>
      <c r="P295" s="30"/>
      <c r="Q295" s="35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</row>
    <row r="296" customFormat="false" ht="14.25" hidden="false" customHeight="true" outlineLevel="0" collapsed="false">
      <c r="A296" s="116"/>
      <c r="B296" s="19"/>
      <c r="C296" s="19"/>
      <c r="D296" s="36"/>
      <c r="E296" s="19"/>
      <c r="F296" s="37"/>
      <c r="G296" s="38"/>
      <c r="H296" s="38"/>
      <c r="I296" s="38"/>
      <c r="J296" s="38"/>
      <c r="K296" s="38"/>
      <c r="L296" s="38"/>
      <c r="M296" s="38"/>
      <c r="N296" s="39"/>
      <c r="O296" s="38"/>
      <c r="P296" s="30"/>
      <c r="Q296" s="35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31"/>
      <c r="AH296" s="31"/>
      <c r="AI296" s="31"/>
      <c r="AJ296" s="31"/>
    </row>
    <row r="297" customFormat="false" ht="14.25" hidden="false" customHeight="true" outlineLevel="0" collapsed="false">
      <c r="A297" s="116"/>
      <c r="B297" s="19"/>
      <c r="C297" s="19"/>
      <c r="D297" s="36"/>
      <c r="E297" s="19"/>
      <c r="F297" s="37"/>
      <c r="G297" s="38"/>
      <c r="H297" s="38"/>
      <c r="I297" s="38"/>
      <c r="J297" s="38"/>
      <c r="K297" s="38"/>
      <c r="L297" s="38"/>
      <c r="M297" s="38"/>
      <c r="N297" s="39"/>
      <c r="O297" s="38"/>
      <c r="P297" s="30"/>
      <c r="Q297" s="35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31"/>
      <c r="AH297" s="31"/>
      <c r="AI297" s="31"/>
      <c r="AJ297" s="31"/>
    </row>
    <row r="298" customFormat="false" ht="14.25" hidden="false" customHeight="true" outlineLevel="0" collapsed="false">
      <c r="A298" s="116"/>
      <c r="B298" s="19"/>
      <c r="C298" s="19"/>
      <c r="D298" s="36"/>
      <c r="E298" s="19"/>
      <c r="F298" s="37"/>
      <c r="G298" s="38"/>
      <c r="H298" s="38"/>
      <c r="I298" s="38"/>
      <c r="J298" s="38"/>
      <c r="K298" s="38"/>
      <c r="L298" s="38"/>
      <c r="M298" s="38"/>
      <c r="N298" s="39"/>
      <c r="O298" s="38"/>
      <c r="P298" s="30"/>
      <c r="Q298" s="35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31"/>
      <c r="AH298" s="31"/>
      <c r="AI298" s="31"/>
      <c r="AJ298" s="31"/>
    </row>
    <row r="299" customFormat="false" ht="14.25" hidden="false" customHeight="true" outlineLevel="0" collapsed="false">
      <c r="A299" s="116"/>
      <c r="B299" s="19"/>
      <c r="C299" s="19"/>
      <c r="D299" s="36"/>
      <c r="E299" s="19"/>
      <c r="F299" s="37"/>
      <c r="G299" s="38"/>
      <c r="H299" s="38"/>
      <c r="I299" s="38"/>
      <c r="J299" s="38"/>
      <c r="K299" s="38"/>
      <c r="L299" s="38"/>
      <c r="M299" s="38"/>
      <c r="N299" s="39"/>
      <c r="O299" s="38"/>
      <c r="P299" s="30"/>
      <c r="Q299" s="35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31"/>
      <c r="AH299" s="31"/>
      <c r="AI299" s="31"/>
      <c r="AJ299" s="31"/>
    </row>
    <row r="300" customFormat="false" ht="14.25" hidden="false" customHeight="true" outlineLevel="0" collapsed="false">
      <c r="A300" s="116"/>
      <c r="B300" s="19"/>
      <c r="C300" s="19"/>
      <c r="D300" s="36"/>
      <c r="E300" s="19"/>
      <c r="F300" s="37"/>
      <c r="G300" s="38"/>
      <c r="H300" s="38"/>
      <c r="I300" s="38"/>
      <c r="J300" s="38"/>
      <c r="K300" s="38"/>
      <c r="L300" s="38"/>
      <c r="M300" s="38"/>
      <c r="N300" s="39"/>
      <c r="O300" s="38"/>
      <c r="P300" s="30"/>
      <c r="Q300" s="35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</row>
    <row r="301" customFormat="false" ht="14.25" hidden="false" customHeight="true" outlineLevel="0" collapsed="false">
      <c r="A301" s="116"/>
      <c r="B301" s="19"/>
      <c r="C301" s="19"/>
      <c r="D301" s="36"/>
      <c r="E301" s="19"/>
      <c r="F301" s="37"/>
      <c r="G301" s="38"/>
      <c r="H301" s="38"/>
      <c r="I301" s="38"/>
      <c r="J301" s="38"/>
      <c r="K301" s="38"/>
      <c r="L301" s="38"/>
      <c r="M301" s="38"/>
      <c r="N301" s="39"/>
      <c r="O301" s="38"/>
      <c r="P301" s="30"/>
      <c r="Q301" s="35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31"/>
      <c r="AH301" s="31"/>
      <c r="AI301" s="31"/>
      <c r="AJ301" s="31"/>
    </row>
    <row r="302" customFormat="false" ht="14.25" hidden="false" customHeight="true" outlineLevel="0" collapsed="false">
      <c r="A302" s="116"/>
      <c r="B302" s="19"/>
      <c r="C302" s="19"/>
      <c r="D302" s="36"/>
      <c r="E302" s="19"/>
      <c r="F302" s="37"/>
      <c r="G302" s="38"/>
      <c r="H302" s="38"/>
      <c r="I302" s="38"/>
      <c r="J302" s="38"/>
      <c r="K302" s="38"/>
      <c r="L302" s="38"/>
      <c r="M302" s="38"/>
      <c r="N302" s="39"/>
      <c r="O302" s="38"/>
      <c r="P302" s="30"/>
      <c r="Q302" s="35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31"/>
      <c r="AH302" s="31"/>
      <c r="AI302" s="31"/>
      <c r="AJ302" s="31"/>
    </row>
    <row r="303" customFormat="false" ht="14.25" hidden="false" customHeight="true" outlineLevel="0" collapsed="false">
      <c r="A303" s="116"/>
      <c r="B303" s="19"/>
      <c r="C303" s="19"/>
      <c r="D303" s="36"/>
      <c r="E303" s="19"/>
      <c r="F303" s="37"/>
      <c r="G303" s="38"/>
      <c r="H303" s="38"/>
      <c r="I303" s="38"/>
      <c r="J303" s="38"/>
      <c r="K303" s="38"/>
      <c r="L303" s="38"/>
      <c r="M303" s="38"/>
      <c r="N303" s="39"/>
      <c r="O303" s="38"/>
      <c r="P303" s="30"/>
      <c r="Q303" s="35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31"/>
      <c r="AH303" s="31"/>
      <c r="AI303" s="31"/>
      <c r="AJ303" s="31"/>
    </row>
    <row r="304" customFormat="false" ht="14.25" hidden="false" customHeight="true" outlineLevel="0" collapsed="false">
      <c r="A304" s="116"/>
      <c r="B304" s="19"/>
      <c r="C304" s="19"/>
      <c r="D304" s="36"/>
      <c r="E304" s="19"/>
      <c r="F304" s="37"/>
      <c r="G304" s="38"/>
      <c r="H304" s="38"/>
      <c r="I304" s="38"/>
      <c r="J304" s="38"/>
      <c r="K304" s="38"/>
      <c r="L304" s="38"/>
      <c r="M304" s="38"/>
      <c r="N304" s="39"/>
      <c r="O304" s="38"/>
      <c r="P304" s="30"/>
      <c r="Q304" s="35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31"/>
      <c r="AH304" s="31"/>
      <c r="AI304" s="31"/>
      <c r="AJ304" s="31"/>
    </row>
    <row r="305" customFormat="false" ht="14.25" hidden="false" customHeight="true" outlineLevel="0" collapsed="false">
      <c r="A305" s="116"/>
      <c r="B305" s="19"/>
      <c r="C305" s="19"/>
      <c r="D305" s="36"/>
      <c r="E305" s="19"/>
      <c r="F305" s="37"/>
      <c r="G305" s="38"/>
      <c r="H305" s="38"/>
      <c r="I305" s="38"/>
      <c r="J305" s="38"/>
      <c r="K305" s="38"/>
      <c r="L305" s="38"/>
      <c r="M305" s="38"/>
      <c r="N305" s="39"/>
      <c r="O305" s="38"/>
      <c r="P305" s="30"/>
      <c r="Q305" s="35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</row>
    <row r="306" customFormat="false" ht="14.25" hidden="false" customHeight="true" outlineLevel="0" collapsed="false">
      <c r="A306" s="116"/>
      <c r="B306" s="19"/>
      <c r="C306" s="19"/>
      <c r="D306" s="36"/>
      <c r="E306" s="19"/>
      <c r="F306" s="37"/>
      <c r="G306" s="38"/>
      <c r="H306" s="38"/>
      <c r="I306" s="38"/>
      <c r="J306" s="38"/>
      <c r="K306" s="38"/>
      <c r="L306" s="38"/>
      <c r="M306" s="38"/>
      <c r="N306" s="39"/>
      <c r="O306" s="38"/>
      <c r="P306" s="30"/>
      <c r="Q306" s="35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31"/>
      <c r="AH306" s="31"/>
      <c r="AI306" s="31"/>
      <c r="AJ306" s="31"/>
    </row>
    <row r="307" customFormat="false" ht="14.25" hidden="false" customHeight="true" outlineLevel="0" collapsed="false">
      <c r="A307" s="116"/>
      <c r="B307" s="19"/>
      <c r="C307" s="19"/>
      <c r="D307" s="36"/>
      <c r="E307" s="19"/>
      <c r="F307" s="37"/>
      <c r="G307" s="38"/>
      <c r="H307" s="38"/>
      <c r="I307" s="38"/>
      <c r="J307" s="38"/>
      <c r="K307" s="38"/>
      <c r="L307" s="38"/>
      <c r="M307" s="38"/>
      <c r="N307" s="39"/>
      <c r="O307" s="38"/>
      <c r="P307" s="30"/>
      <c r="Q307" s="35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31"/>
      <c r="AH307" s="31"/>
      <c r="AI307" s="31"/>
      <c r="AJ307" s="31"/>
    </row>
    <row r="308" customFormat="false" ht="14.25" hidden="false" customHeight="true" outlineLevel="0" collapsed="false">
      <c r="A308" s="116"/>
      <c r="B308" s="19"/>
      <c r="C308" s="19"/>
      <c r="D308" s="36"/>
      <c r="E308" s="19"/>
      <c r="F308" s="37"/>
      <c r="G308" s="38"/>
      <c r="H308" s="38"/>
      <c r="I308" s="38"/>
      <c r="J308" s="38"/>
      <c r="K308" s="38"/>
      <c r="L308" s="38"/>
      <c r="M308" s="38"/>
      <c r="N308" s="39"/>
      <c r="O308" s="38"/>
      <c r="P308" s="30"/>
      <c r="Q308" s="35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31"/>
      <c r="AH308" s="31"/>
      <c r="AI308" s="31"/>
      <c r="AJ308" s="31"/>
    </row>
    <row r="309" customFormat="false" ht="14.25" hidden="false" customHeight="true" outlineLevel="0" collapsed="false">
      <c r="A309" s="116"/>
      <c r="B309" s="19"/>
      <c r="C309" s="19"/>
      <c r="D309" s="36"/>
      <c r="E309" s="19"/>
      <c r="F309" s="37"/>
      <c r="G309" s="38"/>
      <c r="H309" s="38"/>
      <c r="I309" s="38"/>
      <c r="J309" s="38"/>
      <c r="K309" s="38"/>
      <c r="L309" s="38"/>
      <c r="M309" s="38"/>
      <c r="N309" s="39"/>
      <c r="O309" s="38"/>
      <c r="P309" s="30"/>
      <c r="Q309" s="35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</row>
    <row r="310" customFormat="false" ht="14.25" hidden="false" customHeight="true" outlineLevel="0" collapsed="false">
      <c r="A310" s="116"/>
      <c r="B310" s="19"/>
      <c r="C310" s="19"/>
      <c r="D310" s="36"/>
      <c r="E310" s="19"/>
      <c r="F310" s="37"/>
      <c r="G310" s="38"/>
      <c r="H310" s="38"/>
      <c r="I310" s="38"/>
      <c r="J310" s="38"/>
      <c r="K310" s="38"/>
      <c r="L310" s="38"/>
      <c r="M310" s="38"/>
      <c r="N310" s="39"/>
      <c r="O310" s="38"/>
      <c r="P310" s="30"/>
      <c r="Q310" s="35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31"/>
      <c r="AH310" s="31"/>
      <c r="AI310" s="31"/>
      <c r="AJ310" s="31"/>
    </row>
    <row r="311" customFormat="false" ht="14.25" hidden="false" customHeight="true" outlineLevel="0" collapsed="false">
      <c r="A311" s="116"/>
      <c r="B311" s="19"/>
      <c r="C311" s="19"/>
      <c r="D311" s="36"/>
      <c r="E311" s="19"/>
      <c r="F311" s="37"/>
      <c r="G311" s="38"/>
      <c r="H311" s="38"/>
      <c r="I311" s="38"/>
      <c r="J311" s="38"/>
      <c r="K311" s="38"/>
      <c r="L311" s="38"/>
      <c r="M311" s="38"/>
      <c r="N311" s="39"/>
      <c r="O311" s="38"/>
      <c r="P311" s="30"/>
      <c r="Q311" s="35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31"/>
      <c r="AH311" s="31"/>
      <c r="AI311" s="31"/>
      <c r="AJ311" s="31"/>
    </row>
    <row r="312" customFormat="false" ht="14.25" hidden="false" customHeight="true" outlineLevel="0" collapsed="false">
      <c r="A312" s="116"/>
      <c r="B312" s="19"/>
      <c r="C312" s="19"/>
      <c r="D312" s="36"/>
      <c r="E312" s="19"/>
      <c r="F312" s="37"/>
      <c r="G312" s="38"/>
      <c r="H312" s="38"/>
      <c r="I312" s="38"/>
      <c r="J312" s="38"/>
      <c r="K312" s="38"/>
      <c r="L312" s="38"/>
      <c r="M312" s="38"/>
      <c r="N312" s="39"/>
      <c r="O312" s="38"/>
      <c r="P312" s="30"/>
      <c r="Q312" s="35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31"/>
      <c r="AH312" s="31"/>
      <c r="AI312" s="31"/>
      <c r="AJ312" s="31"/>
    </row>
    <row r="313" customFormat="false" ht="14.25" hidden="false" customHeight="true" outlineLevel="0" collapsed="false">
      <c r="A313" s="116"/>
      <c r="B313" s="19"/>
      <c r="C313" s="19"/>
      <c r="D313" s="36"/>
      <c r="E313" s="19"/>
      <c r="F313" s="37"/>
      <c r="G313" s="38"/>
      <c r="H313" s="38"/>
      <c r="I313" s="38"/>
      <c r="J313" s="38"/>
      <c r="K313" s="38"/>
      <c r="L313" s="38"/>
      <c r="M313" s="38"/>
      <c r="N313" s="39"/>
      <c r="O313" s="38"/>
      <c r="P313" s="30"/>
      <c r="Q313" s="35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31"/>
      <c r="AH313" s="31"/>
      <c r="AI313" s="31"/>
      <c r="AJ313" s="31"/>
    </row>
    <row r="314" customFormat="false" ht="14.25" hidden="false" customHeight="true" outlineLevel="0" collapsed="false">
      <c r="A314" s="116"/>
      <c r="B314" s="19"/>
      <c r="C314" s="19"/>
      <c r="D314" s="36"/>
      <c r="E314" s="19"/>
      <c r="F314" s="37"/>
      <c r="G314" s="38"/>
      <c r="H314" s="38"/>
      <c r="I314" s="38"/>
      <c r="J314" s="38"/>
      <c r="K314" s="38"/>
      <c r="L314" s="38"/>
      <c r="M314" s="38"/>
      <c r="N314" s="39"/>
      <c r="O314" s="38"/>
      <c r="P314" s="30"/>
      <c r="Q314" s="35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31"/>
      <c r="AH314" s="31"/>
      <c r="AI314" s="31"/>
      <c r="AJ314" s="31"/>
    </row>
    <row r="315" customFormat="false" ht="14.25" hidden="false" customHeight="true" outlineLevel="0" collapsed="false">
      <c r="A315" s="116"/>
      <c r="B315" s="19"/>
      <c r="C315" s="19"/>
      <c r="D315" s="36"/>
      <c r="E315" s="19"/>
      <c r="F315" s="37"/>
      <c r="G315" s="38"/>
      <c r="H315" s="38"/>
      <c r="I315" s="38"/>
      <c r="J315" s="38"/>
      <c r="K315" s="38"/>
      <c r="L315" s="38"/>
      <c r="M315" s="38"/>
      <c r="N315" s="39"/>
      <c r="O315" s="38"/>
      <c r="P315" s="30"/>
      <c r="Q315" s="35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31"/>
      <c r="AH315" s="31"/>
      <c r="AI315" s="31"/>
      <c r="AJ315" s="31"/>
    </row>
    <row r="316" customFormat="false" ht="14.25" hidden="false" customHeight="true" outlineLevel="0" collapsed="false">
      <c r="A316" s="116"/>
      <c r="B316" s="19"/>
      <c r="C316" s="19"/>
      <c r="D316" s="36"/>
      <c r="E316" s="19"/>
      <c r="F316" s="37"/>
      <c r="G316" s="38"/>
      <c r="H316" s="38"/>
      <c r="I316" s="38"/>
      <c r="J316" s="38"/>
      <c r="K316" s="38"/>
      <c r="L316" s="38"/>
      <c r="M316" s="38"/>
      <c r="N316" s="39"/>
      <c r="O316" s="38"/>
      <c r="P316" s="30"/>
      <c r="Q316" s="35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</row>
    <row r="317" customFormat="false" ht="14.25" hidden="false" customHeight="true" outlineLevel="0" collapsed="false">
      <c r="A317" s="116"/>
      <c r="B317" s="19"/>
      <c r="C317" s="19"/>
      <c r="D317" s="36"/>
      <c r="E317" s="19"/>
      <c r="F317" s="37"/>
      <c r="G317" s="38"/>
      <c r="H317" s="38"/>
      <c r="I317" s="38"/>
      <c r="J317" s="38"/>
      <c r="K317" s="38"/>
      <c r="L317" s="38"/>
      <c r="M317" s="38"/>
      <c r="N317" s="39"/>
      <c r="O317" s="38"/>
      <c r="P317" s="30"/>
      <c r="Q317" s="35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31"/>
      <c r="AH317" s="31"/>
      <c r="AI317" s="31"/>
      <c r="AJ317" s="31"/>
    </row>
    <row r="318" customFormat="false" ht="14.25" hidden="false" customHeight="true" outlineLevel="0" collapsed="false">
      <c r="A318" s="116"/>
      <c r="B318" s="19"/>
      <c r="C318" s="19"/>
      <c r="D318" s="36"/>
      <c r="E318" s="19"/>
      <c r="F318" s="37"/>
      <c r="G318" s="38"/>
      <c r="H318" s="38"/>
      <c r="I318" s="38"/>
      <c r="J318" s="38"/>
      <c r="K318" s="38"/>
      <c r="L318" s="38"/>
      <c r="M318" s="38"/>
      <c r="N318" s="39"/>
      <c r="O318" s="38"/>
      <c r="P318" s="30"/>
      <c r="Q318" s="35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31"/>
      <c r="AH318" s="31"/>
      <c r="AI318" s="31"/>
      <c r="AJ318" s="31"/>
    </row>
    <row r="319" customFormat="false" ht="14.25" hidden="false" customHeight="true" outlineLevel="0" collapsed="false">
      <c r="A319" s="116"/>
      <c r="B319" s="19"/>
      <c r="C319" s="19"/>
      <c r="D319" s="36"/>
      <c r="E319" s="19"/>
      <c r="F319" s="37"/>
      <c r="G319" s="38"/>
      <c r="H319" s="38"/>
      <c r="I319" s="38"/>
      <c r="J319" s="38"/>
      <c r="K319" s="38"/>
      <c r="L319" s="38"/>
      <c r="M319" s="38"/>
      <c r="N319" s="39"/>
      <c r="O319" s="38"/>
      <c r="P319" s="30"/>
      <c r="Q319" s="35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31"/>
      <c r="AH319" s="31"/>
      <c r="AI319" s="31"/>
      <c r="AJ319" s="31"/>
    </row>
    <row r="320" customFormat="false" ht="14.25" hidden="false" customHeight="true" outlineLevel="0" collapsed="false">
      <c r="A320" s="116"/>
      <c r="B320" s="19"/>
      <c r="C320" s="19"/>
      <c r="D320" s="36"/>
      <c r="E320" s="19"/>
      <c r="F320" s="37"/>
      <c r="G320" s="38"/>
      <c r="H320" s="38"/>
      <c r="I320" s="38"/>
      <c r="J320" s="38"/>
      <c r="K320" s="38"/>
      <c r="L320" s="38"/>
      <c r="M320" s="38"/>
      <c r="N320" s="39"/>
      <c r="O320" s="38"/>
      <c r="P320" s="30"/>
      <c r="Q320" s="35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31"/>
      <c r="AH320" s="31"/>
      <c r="AI320" s="31"/>
      <c r="AJ320" s="31"/>
    </row>
    <row r="321" customFormat="false" ht="14.25" hidden="false" customHeight="true" outlineLevel="0" collapsed="false">
      <c r="A321" s="116"/>
      <c r="B321" s="19"/>
      <c r="C321" s="19"/>
      <c r="D321" s="36"/>
      <c r="E321" s="19"/>
      <c r="F321" s="37"/>
      <c r="G321" s="38"/>
      <c r="H321" s="38"/>
      <c r="I321" s="38"/>
      <c r="J321" s="38"/>
      <c r="K321" s="38"/>
      <c r="L321" s="38"/>
      <c r="M321" s="38"/>
      <c r="N321" s="39"/>
      <c r="O321" s="38"/>
      <c r="P321" s="30"/>
      <c r="Q321" s="35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31"/>
      <c r="AH321" s="31"/>
      <c r="AI321" s="31"/>
      <c r="AJ321" s="31"/>
    </row>
    <row r="322" customFormat="false" ht="14.25" hidden="false" customHeight="true" outlineLevel="0" collapsed="false">
      <c r="A322" s="116"/>
      <c r="B322" s="19"/>
      <c r="C322" s="19"/>
      <c r="D322" s="36"/>
      <c r="E322" s="19"/>
      <c r="F322" s="37"/>
      <c r="G322" s="38"/>
      <c r="H322" s="38"/>
      <c r="I322" s="38"/>
      <c r="J322" s="38"/>
      <c r="K322" s="38"/>
      <c r="L322" s="38"/>
      <c r="M322" s="38"/>
      <c r="N322" s="39"/>
      <c r="O322" s="38"/>
      <c r="P322" s="30"/>
      <c r="Q322" s="35"/>
      <c r="R322" s="31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31"/>
      <c r="AH322" s="31"/>
      <c r="AI322" s="31"/>
      <c r="AJ322" s="31"/>
    </row>
    <row r="323" customFormat="false" ht="14.25" hidden="false" customHeight="true" outlineLevel="0" collapsed="false">
      <c r="A323" s="116"/>
      <c r="B323" s="19"/>
      <c r="C323" s="19"/>
      <c r="D323" s="36"/>
      <c r="E323" s="19"/>
      <c r="F323" s="37"/>
      <c r="G323" s="38"/>
      <c r="H323" s="38"/>
      <c r="I323" s="38"/>
      <c r="J323" s="38"/>
      <c r="K323" s="38"/>
      <c r="L323" s="38"/>
      <c r="M323" s="38"/>
      <c r="N323" s="39"/>
      <c r="O323" s="38"/>
      <c r="P323" s="30"/>
      <c r="Q323" s="35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31"/>
      <c r="AH323" s="31"/>
      <c r="AI323" s="31"/>
      <c r="AJ323" s="31"/>
    </row>
    <row r="324" customFormat="false" ht="14.25" hidden="false" customHeight="true" outlineLevel="0" collapsed="false">
      <c r="A324" s="116"/>
      <c r="B324" s="19"/>
      <c r="C324" s="19"/>
      <c r="D324" s="36"/>
      <c r="E324" s="19"/>
      <c r="F324" s="37"/>
      <c r="G324" s="38"/>
      <c r="H324" s="38"/>
      <c r="I324" s="38"/>
      <c r="J324" s="38"/>
      <c r="K324" s="38"/>
      <c r="L324" s="38"/>
      <c r="M324" s="38"/>
      <c r="N324" s="39"/>
      <c r="O324" s="38"/>
      <c r="P324" s="30"/>
      <c r="Q324" s="35"/>
      <c r="R324" s="31"/>
      <c r="S324" s="31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31"/>
      <c r="AH324" s="31"/>
      <c r="AI324" s="31"/>
      <c r="AJ324" s="31"/>
    </row>
    <row r="325" customFormat="false" ht="14.25" hidden="false" customHeight="true" outlineLevel="0" collapsed="false">
      <c r="A325" s="116"/>
      <c r="B325" s="19"/>
      <c r="C325" s="19"/>
      <c r="D325" s="36"/>
      <c r="E325" s="19"/>
      <c r="F325" s="37"/>
      <c r="G325" s="38"/>
      <c r="H325" s="38"/>
      <c r="I325" s="38"/>
      <c r="J325" s="38"/>
      <c r="K325" s="38"/>
      <c r="L325" s="38"/>
      <c r="M325" s="38"/>
      <c r="N325" s="39"/>
      <c r="O325" s="38"/>
      <c r="P325" s="30"/>
      <c r="Q325" s="35"/>
      <c r="R325" s="31"/>
      <c r="S325" s="31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31"/>
      <c r="AH325" s="31"/>
      <c r="AI325" s="31"/>
      <c r="AJ325" s="31"/>
    </row>
    <row r="326" customFormat="false" ht="14.25" hidden="false" customHeight="true" outlineLevel="0" collapsed="false">
      <c r="A326" s="116"/>
      <c r="B326" s="19"/>
      <c r="C326" s="19"/>
      <c r="D326" s="36"/>
      <c r="E326" s="19"/>
      <c r="F326" s="37"/>
      <c r="G326" s="38"/>
      <c r="H326" s="38"/>
      <c r="I326" s="38"/>
      <c r="J326" s="38"/>
      <c r="K326" s="38"/>
      <c r="L326" s="38"/>
      <c r="M326" s="38"/>
      <c r="N326" s="39"/>
      <c r="O326" s="38"/>
      <c r="P326" s="30"/>
      <c r="Q326" s="35"/>
      <c r="R326" s="31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31"/>
      <c r="AH326" s="31"/>
      <c r="AI326" s="31"/>
      <c r="AJ326" s="31"/>
    </row>
    <row r="327" customFormat="false" ht="14.25" hidden="false" customHeight="true" outlineLevel="0" collapsed="false">
      <c r="A327" s="116"/>
      <c r="B327" s="19"/>
      <c r="C327" s="19"/>
      <c r="D327" s="36"/>
      <c r="E327" s="19"/>
      <c r="F327" s="37"/>
      <c r="G327" s="38"/>
      <c r="H327" s="38"/>
      <c r="I327" s="38"/>
      <c r="J327" s="38"/>
      <c r="K327" s="38"/>
      <c r="L327" s="38"/>
      <c r="M327" s="38"/>
      <c r="N327" s="39"/>
      <c r="O327" s="38"/>
      <c r="P327" s="30"/>
      <c r="Q327" s="35"/>
      <c r="R327" s="31"/>
      <c r="S327" s="31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31"/>
      <c r="AH327" s="31"/>
      <c r="AI327" s="31"/>
      <c r="AJ327" s="31"/>
    </row>
    <row r="328" customFormat="false" ht="14.25" hidden="false" customHeight="true" outlineLevel="0" collapsed="false">
      <c r="A328" s="116"/>
      <c r="B328" s="19"/>
      <c r="C328" s="19"/>
      <c r="D328" s="36"/>
      <c r="E328" s="19"/>
      <c r="F328" s="37"/>
      <c r="G328" s="38"/>
      <c r="H328" s="38"/>
      <c r="I328" s="38"/>
      <c r="J328" s="38"/>
      <c r="K328" s="38"/>
      <c r="L328" s="38"/>
      <c r="M328" s="38"/>
      <c r="N328" s="39"/>
      <c r="O328" s="38"/>
      <c r="P328" s="30"/>
      <c r="Q328" s="35"/>
      <c r="R328" s="31"/>
      <c r="S328" s="31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31"/>
      <c r="AH328" s="31"/>
      <c r="AI328" s="31"/>
      <c r="AJ328" s="31"/>
    </row>
    <row r="329" customFormat="false" ht="14.25" hidden="false" customHeight="true" outlineLevel="0" collapsed="false">
      <c r="A329" s="116"/>
      <c r="B329" s="19"/>
      <c r="C329" s="19"/>
      <c r="D329" s="36"/>
      <c r="E329" s="19"/>
      <c r="F329" s="37"/>
      <c r="G329" s="38"/>
      <c r="H329" s="38"/>
      <c r="I329" s="38"/>
      <c r="J329" s="38"/>
      <c r="K329" s="38"/>
      <c r="L329" s="38"/>
      <c r="M329" s="38"/>
      <c r="N329" s="39"/>
      <c r="O329" s="38"/>
      <c r="P329" s="30"/>
      <c r="Q329" s="35"/>
      <c r="R329" s="31"/>
      <c r="S329" s="31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31"/>
      <c r="AH329" s="31"/>
      <c r="AI329" s="31"/>
      <c r="AJ329" s="31"/>
    </row>
    <row r="330" customFormat="false" ht="14.25" hidden="false" customHeight="true" outlineLevel="0" collapsed="false">
      <c r="A330" s="116"/>
      <c r="B330" s="19"/>
      <c r="C330" s="19"/>
      <c r="D330" s="36"/>
      <c r="E330" s="19"/>
      <c r="F330" s="37"/>
      <c r="G330" s="38"/>
      <c r="H330" s="38"/>
      <c r="I330" s="38"/>
      <c r="J330" s="38"/>
      <c r="K330" s="38"/>
      <c r="L330" s="38"/>
      <c r="M330" s="38"/>
      <c r="N330" s="39"/>
      <c r="O330" s="38"/>
      <c r="P330" s="30"/>
      <c r="Q330" s="35"/>
      <c r="R330" s="31"/>
      <c r="S330" s="31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31"/>
      <c r="AH330" s="31"/>
      <c r="AI330" s="31"/>
      <c r="AJ330" s="31"/>
    </row>
    <row r="331" customFormat="false" ht="14.25" hidden="false" customHeight="true" outlineLevel="0" collapsed="false">
      <c r="A331" s="116"/>
      <c r="B331" s="19"/>
      <c r="C331" s="19"/>
      <c r="D331" s="36"/>
      <c r="E331" s="19"/>
      <c r="F331" s="37"/>
      <c r="G331" s="38"/>
      <c r="H331" s="38"/>
      <c r="I331" s="38"/>
      <c r="J331" s="38"/>
      <c r="K331" s="38"/>
      <c r="L331" s="38"/>
      <c r="M331" s="38"/>
      <c r="N331" s="39"/>
      <c r="O331" s="38"/>
      <c r="P331" s="30"/>
      <c r="Q331" s="35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31"/>
      <c r="AH331" s="31"/>
      <c r="AI331" s="31"/>
      <c r="AJ331" s="31"/>
    </row>
    <row r="332" customFormat="false" ht="14.25" hidden="false" customHeight="true" outlineLevel="0" collapsed="false">
      <c r="A332" s="116"/>
      <c r="B332" s="19"/>
      <c r="C332" s="19"/>
      <c r="D332" s="36"/>
      <c r="E332" s="19"/>
      <c r="F332" s="37"/>
      <c r="G332" s="38"/>
      <c r="H332" s="38"/>
      <c r="I332" s="38"/>
      <c r="J332" s="38"/>
      <c r="K332" s="38"/>
      <c r="L332" s="38"/>
      <c r="M332" s="38"/>
      <c r="N332" s="39"/>
      <c r="O332" s="38"/>
      <c r="P332" s="30"/>
      <c r="Q332" s="35"/>
      <c r="R332" s="31"/>
      <c r="S332" s="31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31"/>
      <c r="AH332" s="31"/>
      <c r="AI332" s="31"/>
      <c r="AJ332" s="31"/>
    </row>
    <row r="333" customFormat="false" ht="14.25" hidden="false" customHeight="true" outlineLevel="0" collapsed="false">
      <c r="A333" s="116"/>
      <c r="B333" s="19"/>
      <c r="C333" s="19"/>
      <c r="D333" s="36"/>
      <c r="E333" s="19"/>
      <c r="F333" s="37"/>
      <c r="G333" s="38"/>
      <c r="H333" s="38"/>
      <c r="I333" s="38"/>
      <c r="J333" s="38"/>
      <c r="K333" s="38"/>
      <c r="L333" s="38"/>
      <c r="M333" s="38"/>
      <c r="N333" s="39"/>
      <c r="O333" s="38"/>
      <c r="P333" s="30"/>
      <c r="Q333" s="35"/>
      <c r="R333" s="31"/>
      <c r="S333" s="31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31"/>
      <c r="AH333" s="31"/>
      <c r="AI333" s="31"/>
      <c r="AJ333" s="31"/>
    </row>
    <row r="334" customFormat="false" ht="14.25" hidden="false" customHeight="true" outlineLevel="0" collapsed="false">
      <c r="A334" s="116"/>
      <c r="B334" s="19"/>
      <c r="C334" s="19"/>
      <c r="D334" s="36"/>
      <c r="E334" s="19"/>
      <c r="F334" s="37"/>
      <c r="G334" s="38"/>
      <c r="H334" s="38"/>
      <c r="I334" s="38"/>
      <c r="J334" s="38"/>
      <c r="K334" s="38"/>
      <c r="L334" s="38"/>
      <c r="M334" s="38"/>
      <c r="N334" s="39"/>
      <c r="O334" s="38"/>
      <c r="P334" s="30"/>
      <c r="Q334" s="35"/>
      <c r="R334" s="31"/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31"/>
      <c r="AH334" s="31"/>
      <c r="AI334" s="31"/>
      <c r="AJ334" s="31"/>
    </row>
    <row r="335" customFormat="false" ht="14.25" hidden="false" customHeight="true" outlineLevel="0" collapsed="false">
      <c r="A335" s="116"/>
      <c r="B335" s="19"/>
      <c r="C335" s="19"/>
      <c r="D335" s="36"/>
      <c r="E335" s="19"/>
      <c r="F335" s="37"/>
      <c r="G335" s="38"/>
      <c r="H335" s="38"/>
      <c r="I335" s="38"/>
      <c r="J335" s="38"/>
      <c r="K335" s="38"/>
      <c r="L335" s="38"/>
      <c r="M335" s="38"/>
      <c r="N335" s="39"/>
      <c r="O335" s="38"/>
      <c r="P335" s="30"/>
      <c r="Q335" s="35"/>
      <c r="R335" s="31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31"/>
      <c r="AH335" s="31"/>
      <c r="AI335" s="31"/>
      <c r="AJ335" s="31"/>
    </row>
    <row r="336" customFormat="false" ht="14.25" hidden="false" customHeight="true" outlineLevel="0" collapsed="false">
      <c r="A336" s="116"/>
      <c r="B336" s="19"/>
      <c r="C336" s="19"/>
      <c r="D336" s="36"/>
      <c r="E336" s="19"/>
      <c r="F336" s="37"/>
      <c r="G336" s="38"/>
      <c r="H336" s="38"/>
      <c r="I336" s="38"/>
      <c r="J336" s="38"/>
      <c r="K336" s="38"/>
      <c r="L336" s="38"/>
      <c r="M336" s="38"/>
      <c r="N336" s="39"/>
      <c r="O336" s="38"/>
      <c r="P336" s="30"/>
      <c r="Q336" s="35"/>
      <c r="R336" s="31"/>
      <c r="S336" s="31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31"/>
      <c r="AH336" s="31"/>
      <c r="AI336" s="31"/>
      <c r="AJ336" s="31"/>
    </row>
    <row r="337" customFormat="false" ht="14.25" hidden="false" customHeight="true" outlineLevel="0" collapsed="false">
      <c r="A337" s="116"/>
      <c r="B337" s="19"/>
      <c r="C337" s="19"/>
      <c r="D337" s="36"/>
      <c r="E337" s="19"/>
      <c r="F337" s="37"/>
      <c r="G337" s="38"/>
      <c r="H337" s="38"/>
      <c r="I337" s="38"/>
      <c r="J337" s="38"/>
      <c r="K337" s="38"/>
      <c r="L337" s="38"/>
      <c r="M337" s="38"/>
      <c r="N337" s="39"/>
      <c r="O337" s="38"/>
      <c r="P337" s="30"/>
      <c r="Q337" s="35"/>
      <c r="R337" s="31"/>
      <c r="S337" s="31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31"/>
      <c r="AH337" s="31"/>
      <c r="AI337" s="31"/>
      <c r="AJ337" s="31"/>
    </row>
    <row r="338" customFormat="false" ht="14.25" hidden="false" customHeight="true" outlineLevel="0" collapsed="false">
      <c r="A338" s="116"/>
      <c r="B338" s="19"/>
      <c r="C338" s="19"/>
      <c r="D338" s="36"/>
      <c r="E338" s="19"/>
      <c r="F338" s="37"/>
      <c r="G338" s="38"/>
      <c r="H338" s="38"/>
      <c r="I338" s="38"/>
      <c r="J338" s="38"/>
      <c r="K338" s="38"/>
      <c r="L338" s="38"/>
      <c r="M338" s="38"/>
      <c r="N338" s="39"/>
      <c r="O338" s="38"/>
      <c r="P338" s="30"/>
      <c r="Q338" s="35"/>
      <c r="R338" s="31"/>
      <c r="S338" s="31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31"/>
      <c r="AH338" s="31"/>
      <c r="AI338" s="31"/>
      <c r="AJ338" s="31"/>
    </row>
    <row r="339" customFormat="false" ht="14.25" hidden="false" customHeight="true" outlineLevel="0" collapsed="false">
      <c r="A339" s="116"/>
      <c r="B339" s="19"/>
      <c r="C339" s="19"/>
      <c r="D339" s="36"/>
      <c r="E339" s="19"/>
      <c r="F339" s="37"/>
      <c r="G339" s="38"/>
      <c r="H339" s="38"/>
      <c r="I339" s="38"/>
      <c r="J339" s="38"/>
      <c r="K339" s="38"/>
      <c r="L339" s="38"/>
      <c r="M339" s="38"/>
      <c r="N339" s="39"/>
      <c r="O339" s="38"/>
      <c r="P339" s="30"/>
      <c r="Q339" s="35"/>
      <c r="R339" s="31"/>
      <c r="S339" s="31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31"/>
      <c r="AH339" s="31"/>
      <c r="AI339" s="31"/>
      <c r="AJ339" s="31"/>
    </row>
    <row r="340" customFormat="false" ht="14.25" hidden="false" customHeight="true" outlineLevel="0" collapsed="false">
      <c r="A340" s="116"/>
      <c r="B340" s="19"/>
      <c r="C340" s="19"/>
      <c r="D340" s="36"/>
      <c r="E340" s="19"/>
      <c r="F340" s="37"/>
      <c r="G340" s="38"/>
      <c r="H340" s="38"/>
      <c r="I340" s="38"/>
      <c r="J340" s="38"/>
      <c r="K340" s="38"/>
      <c r="L340" s="38"/>
      <c r="M340" s="38"/>
      <c r="N340" s="39"/>
      <c r="O340" s="38"/>
      <c r="P340" s="30"/>
      <c r="Q340" s="35"/>
      <c r="R340" s="31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31"/>
      <c r="AH340" s="31"/>
      <c r="AI340" s="31"/>
      <c r="AJ340" s="31"/>
    </row>
    <row r="341" customFormat="false" ht="14.25" hidden="false" customHeight="true" outlineLevel="0" collapsed="false">
      <c r="A341" s="116"/>
      <c r="B341" s="19"/>
      <c r="C341" s="19"/>
      <c r="D341" s="36"/>
      <c r="E341" s="19"/>
      <c r="F341" s="37"/>
      <c r="G341" s="38"/>
      <c r="H341" s="38"/>
      <c r="I341" s="38"/>
      <c r="J341" s="38"/>
      <c r="K341" s="38"/>
      <c r="L341" s="38"/>
      <c r="M341" s="38"/>
      <c r="N341" s="39"/>
      <c r="O341" s="38"/>
      <c r="P341" s="30"/>
      <c r="Q341" s="35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  <c r="AI341" s="31"/>
      <c r="AJ341" s="31"/>
    </row>
    <row r="342" customFormat="false" ht="14.25" hidden="false" customHeight="true" outlineLevel="0" collapsed="false">
      <c r="A342" s="116"/>
      <c r="B342" s="19"/>
      <c r="C342" s="19"/>
      <c r="D342" s="36"/>
      <c r="E342" s="19"/>
      <c r="F342" s="37"/>
      <c r="G342" s="38"/>
      <c r="H342" s="38"/>
      <c r="I342" s="38"/>
      <c r="J342" s="38"/>
      <c r="K342" s="38"/>
      <c r="L342" s="38"/>
      <c r="M342" s="38"/>
      <c r="N342" s="39"/>
      <c r="O342" s="38"/>
      <c r="P342" s="30"/>
      <c r="Q342" s="35"/>
      <c r="R342" s="31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31"/>
      <c r="AH342" s="31"/>
      <c r="AI342" s="31"/>
      <c r="AJ342" s="31"/>
    </row>
    <row r="343" customFormat="false" ht="14.25" hidden="false" customHeight="true" outlineLevel="0" collapsed="false">
      <c r="A343" s="116"/>
      <c r="B343" s="19"/>
      <c r="C343" s="19"/>
      <c r="D343" s="36"/>
      <c r="E343" s="19"/>
      <c r="F343" s="37"/>
      <c r="G343" s="38"/>
      <c r="H343" s="38"/>
      <c r="I343" s="38"/>
      <c r="J343" s="38"/>
      <c r="K343" s="38"/>
      <c r="L343" s="38"/>
      <c r="M343" s="38"/>
      <c r="N343" s="39"/>
      <c r="O343" s="38"/>
      <c r="P343" s="30"/>
      <c r="Q343" s="35"/>
      <c r="R343" s="31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31"/>
      <c r="AH343" s="31"/>
      <c r="AI343" s="31"/>
      <c r="AJ343" s="31"/>
    </row>
    <row r="344" customFormat="false" ht="14.25" hidden="false" customHeight="true" outlineLevel="0" collapsed="false">
      <c r="A344" s="116"/>
      <c r="B344" s="19"/>
      <c r="C344" s="19"/>
      <c r="D344" s="36"/>
      <c r="E344" s="19"/>
      <c r="F344" s="37"/>
      <c r="G344" s="38"/>
      <c r="H344" s="38"/>
      <c r="I344" s="38"/>
      <c r="J344" s="38"/>
      <c r="K344" s="38"/>
      <c r="L344" s="38"/>
      <c r="M344" s="38"/>
      <c r="N344" s="39"/>
      <c r="O344" s="38"/>
      <c r="P344" s="30"/>
      <c r="Q344" s="35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31"/>
      <c r="AH344" s="31"/>
      <c r="AI344" s="31"/>
      <c r="AJ344" s="31"/>
    </row>
    <row r="345" customFormat="false" ht="14.25" hidden="false" customHeight="true" outlineLevel="0" collapsed="false">
      <c r="A345" s="116"/>
      <c r="B345" s="19"/>
      <c r="C345" s="19"/>
      <c r="D345" s="36"/>
      <c r="E345" s="19"/>
      <c r="F345" s="37"/>
      <c r="G345" s="38"/>
      <c r="H345" s="38"/>
      <c r="I345" s="38"/>
      <c r="J345" s="38"/>
      <c r="K345" s="38"/>
      <c r="L345" s="38"/>
      <c r="M345" s="38"/>
      <c r="N345" s="39"/>
      <c r="O345" s="38"/>
      <c r="P345" s="30"/>
      <c r="Q345" s="35"/>
      <c r="R345" s="31"/>
      <c r="S345" s="31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31"/>
      <c r="AH345" s="31"/>
      <c r="AI345" s="31"/>
      <c r="AJ345" s="31"/>
    </row>
    <row r="346" customFormat="false" ht="14.25" hidden="false" customHeight="true" outlineLevel="0" collapsed="false">
      <c r="A346" s="116"/>
      <c r="B346" s="19"/>
      <c r="C346" s="19"/>
      <c r="D346" s="36"/>
      <c r="E346" s="19"/>
      <c r="F346" s="37"/>
      <c r="G346" s="38"/>
      <c r="H346" s="38"/>
      <c r="I346" s="38"/>
      <c r="J346" s="38"/>
      <c r="K346" s="38"/>
      <c r="L346" s="38"/>
      <c r="M346" s="38"/>
      <c r="N346" s="39"/>
      <c r="O346" s="38"/>
      <c r="P346" s="30"/>
      <c r="Q346" s="35"/>
      <c r="R346" s="31"/>
      <c r="S346" s="31"/>
      <c r="T346" s="31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31"/>
      <c r="AH346" s="31"/>
      <c r="AI346" s="31"/>
      <c r="AJ346" s="31"/>
    </row>
    <row r="347" customFormat="false" ht="14.25" hidden="false" customHeight="true" outlineLevel="0" collapsed="false">
      <c r="A347" s="116"/>
      <c r="B347" s="19"/>
      <c r="C347" s="19"/>
      <c r="D347" s="36"/>
      <c r="E347" s="19"/>
      <c r="F347" s="37"/>
      <c r="G347" s="38"/>
      <c r="H347" s="38"/>
      <c r="I347" s="38"/>
      <c r="J347" s="38"/>
      <c r="K347" s="38"/>
      <c r="L347" s="38"/>
      <c r="M347" s="38"/>
      <c r="N347" s="39"/>
      <c r="O347" s="38"/>
      <c r="P347" s="30"/>
      <c r="Q347" s="35"/>
      <c r="R347" s="31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31"/>
      <c r="AH347" s="31"/>
      <c r="AI347" s="31"/>
      <c r="AJ347" s="31"/>
    </row>
    <row r="348" customFormat="false" ht="14.25" hidden="false" customHeight="true" outlineLevel="0" collapsed="false">
      <c r="A348" s="116"/>
      <c r="B348" s="19"/>
      <c r="C348" s="19"/>
      <c r="D348" s="36"/>
      <c r="E348" s="19"/>
      <c r="F348" s="37"/>
      <c r="G348" s="38"/>
      <c r="H348" s="38"/>
      <c r="I348" s="38"/>
      <c r="J348" s="38"/>
      <c r="K348" s="38"/>
      <c r="L348" s="38"/>
      <c r="M348" s="38"/>
      <c r="N348" s="39"/>
      <c r="O348" s="38"/>
      <c r="P348" s="30"/>
      <c r="Q348" s="35"/>
      <c r="R348" s="31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31"/>
      <c r="AH348" s="31"/>
      <c r="AI348" s="31"/>
      <c r="AJ348" s="31"/>
    </row>
    <row r="349" customFormat="false" ht="14.25" hidden="false" customHeight="true" outlineLevel="0" collapsed="false">
      <c r="A349" s="116"/>
      <c r="B349" s="19"/>
      <c r="C349" s="19"/>
      <c r="D349" s="36"/>
      <c r="E349" s="19"/>
      <c r="F349" s="37"/>
      <c r="G349" s="38"/>
      <c r="H349" s="38"/>
      <c r="I349" s="38"/>
      <c r="J349" s="38"/>
      <c r="K349" s="38"/>
      <c r="L349" s="38"/>
      <c r="M349" s="38"/>
      <c r="N349" s="39"/>
      <c r="O349" s="38"/>
      <c r="P349" s="30"/>
      <c r="Q349" s="35"/>
      <c r="R349" s="31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31"/>
      <c r="AH349" s="31"/>
      <c r="AI349" s="31"/>
      <c r="AJ349" s="31"/>
    </row>
    <row r="350" customFormat="false" ht="14.25" hidden="false" customHeight="true" outlineLevel="0" collapsed="false">
      <c r="A350" s="116"/>
      <c r="B350" s="19"/>
      <c r="C350" s="19"/>
      <c r="D350" s="36"/>
      <c r="E350" s="19"/>
      <c r="F350" s="37"/>
      <c r="G350" s="38"/>
      <c r="H350" s="38"/>
      <c r="I350" s="38"/>
      <c r="J350" s="38"/>
      <c r="K350" s="38"/>
      <c r="L350" s="38"/>
      <c r="M350" s="38"/>
      <c r="N350" s="39"/>
      <c r="O350" s="38"/>
      <c r="P350" s="30"/>
      <c r="Q350" s="35"/>
      <c r="R350" s="31"/>
      <c r="S350" s="31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31"/>
      <c r="AH350" s="31"/>
      <c r="AI350" s="31"/>
      <c r="AJ350" s="31"/>
    </row>
    <row r="351" customFormat="false" ht="14.25" hidden="false" customHeight="true" outlineLevel="0" collapsed="false">
      <c r="A351" s="116"/>
      <c r="B351" s="19"/>
      <c r="C351" s="19"/>
      <c r="D351" s="36"/>
      <c r="E351" s="19"/>
      <c r="F351" s="37"/>
      <c r="G351" s="38"/>
      <c r="H351" s="38"/>
      <c r="I351" s="38"/>
      <c r="J351" s="38"/>
      <c r="K351" s="38"/>
      <c r="L351" s="38"/>
      <c r="M351" s="38"/>
      <c r="N351" s="39"/>
      <c r="O351" s="38"/>
      <c r="P351" s="30"/>
      <c r="Q351" s="35"/>
      <c r="R351" s="31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1"/>
      <c r="AH351" s="31"/>
      <c r="AI351" s="31"/>
      <c r="AJ351" s="31"/>
    </row>
    <row r="352" customFormat="false" ht="14.25" hidden="false" customHeight="true" outlineLevel="0" collapsed="false">
      <c r="A352" s="116"/>
      <c r="B352" s="19"/>
      <c r="C352" s="19"/>
      <c r="D352" s="36"/>
      <c r="E352" s="19"/>
      <c r="F352" s="37"/>
      <c r="G352" s="38"/>
      <c r="H352" s="38"/>
      <c r="I352" s="38"/>
      <c r="J352" s="38"/>
      <c r="K352" s="38"/>
      <c r="L352" s="38"/>
      <c r="M352" s="38"/>
      <c r="N352" s="39"/>
      <c r="O352" s="38"/>
      <c r="P352" s="30"/>
      <c r="Q352" s="35"/>
      <c r="R352" s="31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1"/>
      <c r="AH352" s="31"/>
      <c r="AI352" s="31"/>
      <c r="AJ352" s="31"/>
    </row>
    <row r="353" customFormat="false" ht="14.25" hidden="false" customHeight="true" outlineLevel="0" collapsed="false">
      <c r="A353" s="116"/>
      <c r="B353" s="19"/>
      <c r="C353" s="19"/>
      <c r="D353" s="36"/>
      <c r="E353" s="19"/>
      <c r="F353" s="37"/>
      <c r="G353" s="38"/>
      <c r="H353" s="38"/>
      <c r="I353" s="38"/>
      <c r="J353" s="38"/>
      <c r="K353" s="38"/>
      <c r="L353" s="38"/>
      <c r="M353" s="38"/>
      <c r="N353" s="39"/>
      <c r="O353" s="38"/>
      <c r="P353" s="30"/>
      <c r="Q353" s="35"/>
      <c r="R353" s="31"/>
      <c r="S353" s="31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1"/>
      <c r="AH353" s="31"/>
      <c r="AI353" s="31"/>
      <c r="AJ353" s="31"/>
    </row>
    <row r="354" customFormat="false" ht="14.25" hidden="false" customHeight="true" outlineLevel="0" collapsed="false">
      <c r="A354" s="116"/>
      <c r="B354" s="19"/>
      <c r="C354" s="19"/>
      <c r="D354" s="36"/>
      <c r="E354" s="19"/>
      <c r="F354" s="37"/>
      <c r="G354" s="38"/>
      <c r="H354" s="38"/>
      <c r="I354" s="38"/>
      <c r="J354" s="38"/>
      <c r="K354" s="38"/>
      <c r="L354" s="38"/>
      <c r="M354" s="38"/>
      <c r="N354" s="39"/>
      <c r="O354" s="38"/>
      <c r="P354" s="30"/>
      <c r="Q354" s="35"/>
      <c r="R354" s="31"/>
      <c r="S354" s="31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1"/>
      <c r="AH354" s="31"/>
      <c r="AI354" s="31"/>
      <c r="AJ354" s="31"/>
    </row>
    <row r="355" customFormat="false" ht="14.25" hidden="false" customHeight="true" outlineLevel="0" collapsed="false">
      <c r="A355" s="116"/>
      <c r="B355" s="19"/>
      <c r="C355" s="19"/>
      <c r="D355" s="36"/>
      <c r="E355" s="19"/>
      <c r="F355" s="37"/>
      <c r="G355" s="38"/>
      <c r="H355" s="38"/>
      <c r="I355" s="38"/>
      <c r="J355" s="38"/>
      <c r="K355" s="38"/>
      <c r="L355" s="38"/>
      <c r="M355" s="38"/>
      <c r="N355" s="39"/>
      <c r="O355" s="38"/>
      <c r="P355" s="30"/>
      <c r="Q355" s="35"/>
      <c r="R355" s="31"/>
      <c r="S355" s="31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1"/>
      <c r="AH355" s="31"/>
      <c r="AI355" s="31"/>
      <c r="AJ355" s="31"/>
    </row>
    <row r="356" customFormat="false" ht="14.25" hidden="false" customHeight="true" outlineLevel="0" collapsed="false">
      <c r="A356" s="116"/>
      <c r="B356" s="19"/>
      <c r="C356" s="19"/>
      <c r="D356" s="36"/>
      <c r="E356" s="19"/>
      <c r="F356" s="37"/>
      <c r="G356" s="38"/>
      <c r="H356" s="38"/>
      <c r="I356" s="38"/>
      <c r="J356" s="38"/>
      <c r="K356" s="38"/>
      <c r="L356" s="38"/>
      <c r="M356" s="38"/>
      <c r="N356" s="39"/>
      <c r="O356" s="38"/>
      <c r="P356" s="30"/>
      <c r="Q356" s="35"/>
      <c r="R356" s="31"/>
      <c r="S356" s="31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31"/>
      <c r="AH356" s="31"/>
      <c r="AI356" s="31"/>
      <c r="AJ356" s="31"/>
    </row>
    <row r="357" customFormat="false" ht="14.25" hidden="false" customHeight="true" outlineLevel="0" collapsed="false">
      <c r="A357" s="116"/>
      <c r="B357" s="19"/>
      <c r="C357" s="19"/>
      <c r="D357" s="36"/>
      <c r="E357" s="19"/>
      <c r="F357" s="37"/>
      <c r="G357" s="38"/>
      <c r="H357" s="38"/>
      <c r="I357" s="38"/>
      <c r="J357" s="38"/>
      <c r="K357" s="38"/>
      <c r="L357" s="38"/>
      <c r="M357" s="38"/>
      <c r="N357" s="39"/>
      <c r="O357" s="38"/>
      <c r="P357" s="30"/>
      <c r="Q357" s="35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31"/>
      <c r="AH357" s="31"/>
      <c r="AI357" s="31"/>
      <c r="AJ357" s="31"/>
    </row>
    <row r="358" customFormat="false" ht="14.25" hidden="false" customHeight="true" outlineLevel="0" collapsed="false">
      <c r="A358" s="116"/>
      <c r="B358" s="19"/>
      <c r="C358" s="19"/>
      <c r="D358" s="36"/>
      <c r="E358" s="19"/>
      <c r="F358" s="37"/>
      <c r="G358" s="38"/>
      <c r="H358" s="38"/>
      <c r="I358" s="38"/>
      <c r="J358" s="38"/>
      <c r="K358" s="38"/>
      <c r="L358" s="38"/>
      <c r="M358" s="38"/>
      <c r="N358" s="39"/>
      <c r="O358" s="38"/>
      <c r="P358" s="30"/>
      <c r="Q358" s="35"/>
      <c r="R358" s="31"/>
      <c r="S358" s="31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31"/>
      <c r="AH358" s="31"/>
      <c r="AI358" s="31"/>
      <c r="AJ358" s="31"/>
    </row>
    <row r="359" customFormat="false" ht="14.25" hidden="false" customHeight="true" outlineLevel="0" collapsed="false">
      <c r="A359" s="116"/>
      <c r="B359" s="19"/>
      <c r="C359" s="19"/>
      <c r="D359" s="36"/>
      <c r="E359" s="19"/>
      <c r="F359" s="37"/>
      <c r="G359" s="38"/>
      <c r="H359" s="38"/>
      <c r="I359" s="38"/>
      <c r="J359" s="38"/>
      <c r="K359" s="38"/>
      <c r="L359" s="38"/>
      <c r="M359" s="38"/>
      <c r="N359" s="39"/>
      <c r="O359" s="38"/>
      <c r="P359" s="30"/>
      <c r="Q359" s="35"/>
      <c r="R359" s="31"/>
      <c r="S359" s="31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1"/>
      <c r="AH359" s="31"/>
      <c r="AI359" s="31"/>
      <c r="AJ359" s="31"/>
    </row>
    <row r="360" customFormat="false" ht="14.25" hidden="false" customHeight="true" outlineLevel="0" collapsed="false">
      <c r="A360" s="116"/>
      <c r="B360" s="19"/>
      <c r="C360" s="19"/>
      <c r="D360" s="36"/>
      <c r="E360" s="19"/>
      <c r="F360" s="37"/>
      <c r="G360" s="38"/>
      <c r="H360" s="38"/>
      <c r="I360" s="38"/>
      <c r="J360" s="38"/>
      <c r="K360" s="38"/>
      <c r="L360" s="38"/>
      <c r="M360" s="38"/>
      <c r="N360" s="39"/>
      <c r="O360" s="38"/>
      <c r="P360" s="30"/>
      <c r="Q360" s="35"/>
      <c r="R360" s="31"/>
      <c r="S360" s="31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1"/>
      <c r="AH360" s="31"/>
      <c r="AI360" s="31"/>
      <c r="AJ360" s="31"/>
    </row>
    <row r="361" customFormat="false" ht="14.25" hidden="false" customHeight="true" outlineLevel="0" collapsed="false">
      <c r="A361" s="116"/>
      <c r="B361" s="19"/>
      <c r="C361" s="19"/>
      <c r="D361" s="36"/>
      <c r="E361" s="19"/>
      <c r="F361" s="37"/>
      <c r="G361" s="38"/>
      <c r="H361" s="38"/>
      <c r="I361" s="38"/>
      <c r="J361" s="38"/>
      <c r="K361" s="38"/>
      <c r="L361" s="38"/>
      <c r="M361" s="38"/>
      <c r="N361" s="39"/>
      <c r="O361" s="38"/>
      <c r="P361" s="30"/>
      <c r="Q361" s="35"/>
      <c r="R361" s="31"/>
      <c r="S361" s="31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1"/>
      <c r="AH361" s="31"/>
      <c r="AI361" s="31"/>
      <c r="AJ361" s="31"/>
    </row>
    <row r="362" customFormat="false" ht="14.25" hidden="false" customHeight="true" outlineLevel="0" collapsed="false">
      <c r="A362" s="116"/>
      <c r="B362" s="19"/>
      <c r="C362" s="19"/>
      <c r="D362" s="36"/>
      <c r="E362" s="19"/>
      <c r="F362" s="37"/>
      <c r="G362" s="38"/>
      <c r="H362" s="38"/>
      <c r="I362" s="38"/>
      <c r="J362" s="38"/>
      <c r="K362" s="38"/>
      <c r="L362" s="38"/>
      <c r="M362" s="38"/>
      <c r="N362" s="39"/>
      <c r="O362" s="38"/>
      <c r="P362" s="30"/>
      <c r="Q362" s="35"/>
      <c r="R362" s="31"/>
      <c r="S362" s="31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1"/>
      <c r="AH362" s="31"/>
      <c r="AI362" s="31"/>
      <c r="AJ362" s="31"/>
    </row>
    <row r="363" customFormat="false" ht="14.25" hidden="false" customHeight="true" outlineLevel="0" collapsed="false">
      <c r="A363" s="116"/>
      <c r="B363" s="19"/>
      <c r="C363" s="19"/>
      <c r="D363" s="36"/>
      <c r="E363" s="19"/>
      <c r="F363" s="37"/>
      <c r="G363" s="38"/>
      <c r="H363" s="38"/>
      <c r="I363" s="38"/>
      <c r="J363" s="38"/>
      <c r="K363" s="38"/>
      <c r="L363" s="38"/>
      <c r="M363" s="38"/>
      <c r="N363" s="39"/>
      <c r="O363" s="38"/>
      <c r="P363" s="30"/>
      <c r="Q363" s="35"/>
      <c r="R363" s="31"/>
      <c r="S363" s="31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1"/>
      <c r="AH363" s="31"/>
      <c r="AI363" s="31"/>
      <c r="AJ363" s="31"/>
    </row>
    <row r="364" customFormat="false" ht="14.25" hidden="false" customHeight="true" outlineLevel="0" collapsed="false">
      <c r="A364" s="116"/>
      <c r="B364" s="19"/>
      <c r="C364" s="19"/>
      <c r="D364" s="36"/>
      <c r="E364" s="19"/>
      <c r="F364" s="37"/>
      <c r="G364" s="38"/>
      <c r="H364" s="38"/>
      <c r="I364" s="38"/>
      <c r="J364" s="38"/>
      <c r="K364" s="38"/>
      <c r="L364" s="38"/>
      <c r="M364" s="38"/>
      <c r="N364" s="39"/>
      <c r="O364" s="38"/>
      <c r="P364" s="30"/>
      <c r="Q364" s="35"/>
      <c r="R364" s="31"/>
      <c r="S364" s="31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31"/>
      <c r="AH364" s="31"/>
      <c r="AI364" s="31"/>
      <c r="AJ364" s="31"/>
    </row>
    <row r="365" customFormat="false" ht="14.25" hidden="false" customHeight="true" outlineLevel="0" collapsed="false">
      <c r="A365" s="116"/>
      <c r="B365" s="19"/>
      <c r="C365" s="19"/>
      <c r="D365" s="36"/>
      <c r="E365" s="19"/>
      <c r="F365" s="37"/>
      <c r="G365" s="38"/>
      <c r="H365" s="38"/>
      <c r="I365" s="38"/>
      <c r="J365" s="38"/>
      <c r="K365" s="38"/>
      <c r="L365" s="38"/>
      <c r="M365" s="38"/>
      <c r="N365" s="39"/>
      <c r="O365" s="38"/>
      <c r="P365" s="30"/>
      <c r="Q365" s="35"/>
      <c r="R365" s="31"/>
      <c r="S365" s="31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31"/>
      <c r="AH365" s="31"/>
      <c r="AI365" s="31"/>
      <c r="AJ365" s="31"/>
    </row>
    <row r="366" customFormat="false" ht="14.25" hidden="false" customHeight="true" outlineLevel="0" collapsed="false">
      <c r="A366" s="116"/>
      <c r="B366" s="19"/>
      <c r="C366" s="19"/>
      <c r="D366" s="36"/>
      <c r="E366" s="19"/>
      <c r="F366" s="37"/>
      <c r="G366" s="38"/>
      <c r="H366" s="38"/>
      <c r="I366" s="38"/>
      <c r="J366" s="38"/>
      <c r="K366" s="38"/>
      <c r="L366" s="38"/>
      <c r="M366" s="38"/>
      <c r="N366" s="39"/>
      <c r="O366" s="38"/>
      <c r="P366" s="30"/>
      <c r="Q366" s="35"/>
      <c r="R366" s="31"/>
      <c r="S366" s="31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31"/>
      <c r="AH366" s="31"/>
      <c r="AI366" s="31"/>
      <c r="AJ366" s="31"/>
    </row>
    <row r="367" customFormat="false" ht="14.25" hidden="false" customHeight="true" outlineLevel="0" collapsed="false">
      <c r="A367" s="116"/>
      <c r="B367" s="19"/>
      <c r="C367" s="19"/>
      <c r="D367" s="36"/>
      <c r="E367" s="19"/>
      <c r="F367" s="37"/>
      <c r="G367" s="38"/>
      <c r="H367" s="38"/>
      <c r="I367" s="38"/>
      <c r="J367" s="38"/>
      <c r="K367" s="38"/>
      <c r="L367" s="38"/>
      <c r="M367" s="38"/>
      <c r="N367" s="39"/>
      <c r="O367" s="38"/>
      <c r="P367" s="30"/>
      <c r="Q367" s="35"/>
      <c r="R367" s="31"/>
      <c r="S367" s="31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31"/>
      <c r="AH367" s="31"/>
      <c r="AI367" s="31"/>
      <c r="AJ367" s="31"/>
    </row>
    <row r="368" customFormat="false" ht="14.25" hidden="false" customHeight="true" outlineLevel="0" collapsed="false">
      <c r="A368" s="116"/>
      <c r="B368" s="19"/>
      <c r="C368" s="19"/>
      <c r="D368" s="36"/>
      <c r="E368" s="19"/>
      <c r="F368" s="37"/>
      <c r="G368" s="38"/>
      <c r="H368" s="38"/>
      <c r="I368" s="38"/>
      <c r="J368" s="38"/>
      <c r="K368" s="38"/>
      <c r="L368" s="38"/>
      <c r="M368" s="38"/>
      <c r="N368" s="39"/>
      <c r="O368" s="38"/>
      <c r="P368" s="30"/>
      <c r="Q368" s="35"/>
      <c r="R368" s="31"/>
      <c r="S368" s="31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31"/>
      <c r="AH368" s="31"/>
      <c r="AI368" s="31"/>
      <c r="AJ368" s="31"/>
    </row>
    <row r="369" customFormat="false" ht="14.25" hidden="false" customHeight="true" outlineLevel="0" collapsed="false">
      <c r="A369" s="116"/>
      <c r="B369" s="19"/>
      <c r="C369" s="19"/>
      <c r="D369" s="36"/>
      <c r="E369" s="19"/>
      <c r="F369" s="37"/>
      <c r="G369" s="38"/>
      <c r="H369" s="38"/>
      <c r="I369" s="38"/>
      <c r="J369" s="38"/>
      <c r="K369" s="38"/>
      <c r="L369" s="38"/>
      <c r="M369" s="38"/>
      <c r="N369" s="39"/>
      <c r="O369" s="38"/>
      <c r="P369" s="30"/>
      <c r="Q369" s="35"/>
      <c r="R369" s="31"/>
      <c r="S369" s="31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31"/>
      <c r="AH369" s="31"/>
      <c r="AI369" s="31"/>
      <c r="AJ369" s="31"/>
    </row>
    <row r="370" customFormat="false" ht="14.25" hidden="false" customHeight="true" outlineLevel="0" collapsed="false">
      <c r="A370" s="116"/>
      <c r="B370" s="19"/>
      <c r="C370" s="19"/>
      <c r="D370" s="36"/>
      <c r="E370" s="19"/>
      <c r="F370" s="37"/>
      <c r="G370" s="38"/>
      <c r="H370" s="38"/>
      <c r="I370" s="38"/>
      <c r="J370" s="38"/>
      <c r="K370" s="38"/>
      <c r="L370" s="38"/>
      <c r="M370" s="38"/>
      <c r="N370" s="39"/>
      <c r="O370" s="38"/>
      <c r="P370" s="30"/>
      <c r="Q370" s="35"/>
      <c r="R370" s="31"/>
      <c r="S370" s="31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31"/>
      <c r="AH370" s="31"/>
      <c r="AI370" s="31"/>
      <c r="AJ370" s="31"/>
    </row>
    <row r="371" customFormat="false" ht="14.25" hidden="false" customHeight="true" outlineLevel="0" collapsed="false">
      <c r="A371" s="116"/>
      <c r="B371" s="19"/>
      <c r="C371" s="19"/>
      <c r="D371" s="36"/>
      <c r="E371" s="19"/>
      <c r="F371" s="37"/>
      <c r="G371" s="38"/>
      <c r="H371" s="38"/>
      <c r="I371" s="38"/>
      <c r="J371" s="38"/>
      <c r="K371" s="38"/>
      <c r="L371" s="38"/>
      <c r="M371" s="38"/>
      <c r="N371" s="39"/>
      <c r="O371" s="38"/>
      <c r="P371" s="30"/>
      <c r="Q371" s="35"/>
      <c r="R371" s="31"/>
      <c r="S371" s="31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31"/>
      <c r="AH371" s="31"/>
      <c r="AI371" s="31"/>
      <c r="AJ371" s="31"/>
    </row>
    <row r="372" customFormat="false" ht="14.25" hidden="false" customHeight="true" outlineLevel="0" collapsed="false">
      <c r="A372" s="116"/>
      <c r="B372" s="19"/>
      <c r="C372" s="19"/>
      <c r="D372" s="36"/>
      <c r="E372" s="19"/>
      <c r="F372" s="37"/>
      <c r="G372" s="38"/>
      <c r="H372" s="38"/>
      <c r="I372" s="38"/>
      <c r="J372" s="38"/>
      <c r="K372" s="38"/>
      <c r="L372" s="38"/>
      <c r="M372" s="38"/>
      <c r="N372" s="39"/>
      <c r="O372" s="38"/>
      <c r="P372" s="30"/>
      <c r="Q372" s="35"/>
      <c r="R372" s="31"/>
      <c r="S372" s="31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31"/>
      <c r="AH372" s="31"/>
      <c r="AI372" s="31"/>
      <c r="AJ372" s="31"/>
    </row>
    <row r="373" customFormat="false" ht="14.25" hidden="false" customHeight="true" outlineLevel="0" collapsed="false">
      <c r="A373" s="116"/>
      <c r="B373" s="19"/>
      <c r="C373" s="19"/>
      <c r="D373" s="36"/>
      <c r="E373" s="19"/>
      <c r="F373" s="37"/>
      <c r="G373" s="38"/>
      <c r="H373" s="38"/>
      <c r="I373" s="38"/>
      <c r="J373" s="38"/>
      <c r="K373" s="38"/>
      <c r="L373" s="38"/>
      <c r="M373" s="38"/>
      <c r="N373" s="39"/>
      <c r="O373" s="38"/>
      <c r="P373" s="30"/>
      <c r="Q373" s="35"/>
      <c r="R373" s="31"/>
      <c r="S373" s="31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31"/>
      <c r="AH373" s="31"/>
      <c r="AI373" s="31"/>
      <c r="AJ373" s="31"/>
    </row>
    <row r="374" customFormat="false" ht="14.25" hidden="false" customHeight="true" outlineLevel="0" collapsed="false">
      <c r="A374" s="116"/>
      <c r="B374" s="19"/>
      <c r="C374" s="19"/>
      <c r="D374" s="36"/>
      <c r="E374" s="19"/>
      <c r="F374" s="37"/>
      <c r="G374" s="38"/>
      <c r="H374" s="38"/>
      <c r="I374" s="38"/>
      <c r="J374" s="38"/>
      <c r="K374" s="38"/>
      <c r="L374" s="38"/>
      <c r="M374" s="38"/>
      <c r="N374" s="39"/>
      <c r="O374" s="38"/>
      <c r="P374" s="30"/>
      <c r="Q374" s="35"/>
      <c r="R374" s="31"/>
      <c r="S374" s="31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31"/>
      <c r="AH374" s="31"/>
      <c r="AI374" s="31"/>
      <c r="AJ374" s="31"/>
    </row>
    <row r="375" customFormat="false" ht="14.25" hidden="false" customHeight="true" outlineLevel="0" collapsed="false">
      <c r="A375" s="116"/>
      <c r="B375" s="19"/>
      <c r="C375" s="19"/>
      <c r="D375" s="36"/>
      <c r="E375" s="19"/>
      <c r="F375" s="37"/>
      <c r="G375" s="38"/>
      <c r="H375" s="38"/>
      <c r="I375" s="38"/>
      <c r="J375" s="38"/>
      <c r="K375" s="38"/>
      <c r="L375" s="38"/>
      <c r="M375" s="38"/>
      <c r="N375" s="39"/>
      <c r="O375" s="38"/>
      <c r="P375" s="30"/>
      <c r="Q375" s="35"/>
      <c r="R375" s="31"/>
      <c r="S375" s="31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31"/>
      <c r="AH375" s="31"/>
      <c r="AI375" s="31"/>
      <c r="AJ375" s="31"/>
    </row>
    <row r="376" customFormat="false" ht="14.25" hidden="false" customHeight="true" outlineLevel="0" collapsed="false">
      <c r="A376" s="116"/>
      <c r="B376" s="19"/>
      <c r="C376" s="19"/>
      <c r="D376" s="36"/>
      <c r="E376" s="19"/>
      <c r="F376" s="37"/>
      <c r="G376" s="38"/>
      <c r="H376" s="38"/>
      <c r="I376" s="38"/>
      <c r="J376" s="38"/>
      <c r="K376" s="38"/>
      <c r="L376" s="38"/>
      <c r="M376" s="38"/>
      <c r="N376" s="39"/>
      <c r="O376" s="38"/>
      <c r="P376" s="30"/>
      <c r="Q376" s="35"/>
      <c r="R376" s="31"/>
      <c r="S376" s="31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31"/>
      <c r="AH376" s="31"/>
      <c r="AI376" s="31"/>
      <c r="AJ376" s="31"/>
    </row>
    <row r="377" customFormat="false" ht="14.25" hidden="false" customHeight="true" outlineLevel="0" collapsed="false">
      <c r="A377" s="116"/>
      <c r="B377" s="19"/>
      <c r="C377" s="19"/>
      <c r="D377" s="36"/>
      <c r="E377" s="19"/>
      <c r="F377" s="37"/>
      <c r="G377" s="38"/>
      <c r="H377" s="38"/>
      <c r="I377" s="38"/>
      <c r="J377" s="38"/>
      <c r="K377" s="38"/>
      <c r="L377" s="38"/>
      <c r="M377" s="38"/>
      <c r="N377" s="39"/>
      <c r="O377" s="38"/>
      <c r="P377" s="30"/>
      <c r="Q377" s="35"/>
      <c r="R377" s="31"/>
      <c r="S377" s="31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31"/>
      <c r="AH377" s="31"/>
      <c r="AI377" s="31"/>
      <c r="AJ377" s="31"/>
    </row>
    <row r="378" customFormat="false" ht="14.25" hidden="false" customHeight="true" outlineLevel="0" collapsed="false">
      <c r="A378" s="116"/>
      <c r="B378" s="19"/>
      <c r="C378" s="19"/>
      <c r="D378" s="36"/>
      <c r="E378" s="19"/>
      <c r="F378" s="37"/>
      <c r="G378" s="38"/>
      <c r="H378" s="38"/>
      <c r="I378" s="38"/>
      <c r="J378" s="38"/>
      <c r="K378" s="38"/>
      <c r="L378" s="38"/>
      <c r="M378" s="38"/>
      <c r="N378" s="39"/>
      <c r="O378" s="38"/>
      <c r="P378" s="30"/>
      <c r="Q378" s="35"/>
      <c r="R378" s="31"/>
      <c r="S378" s="31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31"/>
      <c r="AH378" s="31"/>
      <c r="AI378" s="31"/>
      <c r="AJ378" s="31"/>
    </row>
    <row r="379" customFormat="false" ht="14.25" hidden="false" customHeight="true" outlineLevel="0" collapsed="false">
      <c r="A379" s="116"/>
      <c r="B379" s="19"/>
      <c r="C379" s="19"/>
      <c r="D379" s="36"/>
      <c r="E379" s="19"/>
      <c r="F379" s="37"/>
      <c r="G379" s="38"/>
      <c r="H379" s="38"/>
      <c r="I379" s="38"/>
      <c r="J379" s="38"/>
      <c r="K379" s="38"/>
      <c r="L379" s="38"/>
      <c r="M379" s="38"/>
      <c r="N379" s="39"/>
      <c r="O379" s="38"/>
      <c r="P379" s="30"/>
      <c r="Q379" s="35"/>
      <c r="R379" s="31"/>
      <c r="S379" s="31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31"/>
      <c r="AH379" s="31"/>
      <c r="AI379" s="31"/>
      <c r="AJ379" s="31"/>
    </row>
    <row r="380" customFormat="false" ht="14.25" hidden="false" customHeight="true" outlineLevel="0" collapsed="false">
      <c r="A380" s="116"/>
      <c r="B380" s="19"/>
      <c r="C380" s="19"/>
      <c r="D380" s="36"/>
      <c r="E380" s="19"/>
      <c r="F380" s="37"/>
      <c r="G380" s="38"/>
      <c r="H380" s="38"/>
      <c r="I380" s="38"/>
      <c r="J380" s="38"/>
      <c r="K380" s="38"/>
      <c r="L380" s="38"/>
      <c r="M380" s="38"/>
      <c r="N380" s="39"/>
      <c r="O380" s="38"/>
      <c r="P380" s="30"/>
      <c r="Q380" s="35"/>
      <c r="R380" s="31"/>
      <c r="S380" s="31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31"/>
      <c r="AH380" s="31"/>
      <c r="AI380" s="31"/>
      <c r="AJ380" s="31"/>
    </row>
    <row r="381" customFormat="false" ht="14.25" hidden="false" customHeight="true" outlineLevel="0" collapsed="false">
      <c r="A381" s="116"/>
      <c r="B381" s="19"/>
      <c r="C381" s="19"/>
      <c r="D381" s="36"/>
      <c r="E381" s="19"/>
      <c r="F381" s="37"/>
      <c r="G381" s="38"/>
      <c r="H381" s="38"/>
      <c r="I381" s="38"/>
      <c r="J381" s="38"/>
      <c r="K381" s="38"/>
      <c r="L381" s="38"/>
      <c r="M381" s="38"/>
      <c r="N381" s="39"/>
      <c r="O381" s="38"/>
      <c r="P381" s="30"/>
      <c r="Q381" s="35"/>
      <c r="R381" s="31"/>
      <c r="S381" s="31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31"/>
      <c r="AH381" s="31"/>
      <c r="AI381" s="31"/>
      <c r="AJ381" s="31"/>
    </row>
    <row r="382" customFormat="false" ht="14.25" hidden="false" customHeight="true" outlineLevel="0" collapsed="false">
      <c r="A382" s="116"/>
      <c r="B382" s="19"/>
      <c r="C382" s="19"/>
      <c r="D382" s="36"/>
      <c r="E382" s="19"/>
      <c r="F382" s="37"/>
      <c r="G382" s="38"/>
      <c r="H382" s="38"/>
      <c r="I382" s="38"/>
      <c r="J382" s="38"/>
      <c r="K382" s="38"/>
      <c r="L382" s="38"/>
      <c r="M382" s="38"/>
      <c r="N382" s="39"/>
      <c r="O382" s="38"/>
      <c r="P382" s="30"/>
      <c r="Q382" s="35"/>
      <c r="R382" s="31"/>
      <c r="S382" s="31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31"/>
      <c r="AH382" s="31"/>
      <c r="AI382" s="31"/>
      <c r="AJ382" s="31"/>
    </row>
    <row r="383" customFormat="false" ht="14.25" hidden="false" customHeight="true" outlineLevel="0" collapsed="false">
      <c r="A383" s="116"/>
      <c r="B383" s="19"/>
      <c r="C383" s="19"/>
      <c r="D383" s="36"/>
      <c r="E383" s="19"/>
      <c r="F383" s="37"/>
      <c r="G383" s="38"/>
      <c r="H383" s="38"/>
      <c r="I383" s="38"/>
      <c r="J383" s="38"/>
      <c r="K383" s="38"/>
      <c r="L383" s="38"/>
      <c r="M383" s="38"/>
      <c r="N383" s="39"/>
      <c r="O383" s="38"/>
      <c r="P383" s="30"/>
      <c r="Q383" s="35"/>
      <c r="R383" s="31"/>
      <c r="S383" s="31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31"/>
      <c r="AH383" s="31"/>
      <c r="AI383" s="31"/>
      <c r="AJ383" s="31"/>
    </row>
    <row r="384" customFormat="false" ht="14.25" hidden="false" customHeight="true" outlineLevel="0" collapsed="false">
      <c r="A384" s="116"/>
      <c r="B384" s="19"/>
      <c r="C384" s="19"/>
      <c r="D384" s="36"/>
      <c r="E384" s="19"/>
      <c r="F384" s="37"/>
      <c r="G384" s="38"/>
      <c r="H384" s="38"/>
      <c r="I384" s="38"/>
      <c r="J384" s="38"/>
      <c r="K384" s="38"/>
      <c r="L384" s="38"/>
      <c r="M384" s="38"/>
      <c r="N384" s="39"/>
      <c r="O384" s="38"/>
      <c r="P384" s="30"/>
      <c r="Q384" s="35"/>
      <c r="R384" s="31"/>
      <c r="S384" s="31"/>
      <c r="T384" s="31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F384" s="31"/>
      <c r="AG384" s="31"/>
      <c r="AH384" s="31"/>
      <c r="AI384" s="31"/>
      <c r="AJ384" s="31"/>
    </row>
    <row r="385" customFormat="false" ht="14.25" hidden="false" customHeight="true" outlineLevel="0" collapsed="false">
      <c r="A385" s="116"/>
      <c r="B385" s="19"/>
      <c r="C385" s="19"/>
      <c r="D385" s="36"/>
      <c r="E385" s="19"/>
      <c r="F385" s="37"/>
      <c r="G385" s="38"/>
      <c r="H385" s="38"/>
      <c r="I385" s="38"/>
      <c r="J385" s="38"/>
      <c r="K385" s="38"/>
      <c r="L385" s="38"/>
      <c r="M385" s="38"/>
      <c r="N385" s="39"/>
      <c r="O385" s="38"/>
      <c r="P385" s="30"/>
      <c r="Q385" s="35"/>
      <c r="R385" s="31"/>
      <c r="S385" s="31"/>
      <c r="T385" s="31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F385" s="31"/>
      <c r="AG385" s="31"/>
      <c r="AH385" s="31"/>
      <c r="AI385" s="31"/>
      <c r="AJ385" s="31"/>
    </row>
    <row r="386" customFormat="false" ht="14.25" hidden="false" customHeight="true" outlineLevel="0" collapsed="false">
      <c r="A386" s="116"/>
      <c r="B386" s="19"/>
      <c r="C386" s="19"/>
      <c r="D386" s="36"/>
      <c r="E386" s="19"/>
      <c r="F386" s="37"/>
      <c r="G386" s="38"/>
      <c r="H386" s="38"/>
      <c r="I386" s="38"/>
      <c r="J386" s="38"/>
      <c r="K386" s="38"/>
      <c r="L386" s="38"/>
      <c r="M386" s="38"/>
      <c r="N386" s="39"/>
      <c r="O386" s="38"/>
      <c r="P386" s="30"/>
      <c r="Q386" s="35"/>
      <c r="R386" s="31"/>
      <c r="S386" s="31"/>
      <c r="T386" s="31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F386" s="31"/>
      <c r="AG386" s="31"/>
      <c r="AH386" s="31"/>
      <c r="AI386" s="31"/>
      <c r="AJ386" s="31"/>
    </row>
    <row r="387" customFormat="false" ht="14.25" hidden="false" customHeight="true" outlineLevel="0" collapsed="false">
      <c r="A387" s="116"/>
      <c r="B387" s="19"/>
      <c r="C387" s="19"/>
      <c r="D387" s="36"/>
      <c r="E387" s="19"/>
      <c r="F387" s="37"/>
      <c r="G387" s="38"/>
      <c r="H387" s="38"/>
      <c r="I387" s="38"/>
      <c r="J387" s="38"/>
      <c r="K387" s="38"/>
      <c r="L387" s="38"/>
      <c r="M387" s="38"/>
      <c r="N387" s="39"/>
      <c r="O387" s="38"/>
      <c r="P387" s="30"/>
      <c r="Q387" s="35"/>
      <c r="R387" s="31"/>
      <c r="S387" s="31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31"/>
      <c r="AH387" s="31"/>
      <c r="AI387" s="31"/>
      <c r="AJ387" s="31"/>
    </row>
    <row r="388" customFormat="false" ht="14.25" hidden="false" customHeight="true" outlineLevel="0" collapsed="false">
      <c r="A388" s="116"/>
      <c r="B388" s="19"/>
      <c r="C388" s="19"/>
      <c r="D388" s="36"/>
      <c r="E388" s="19"/>
      <c r="F388" s="37"/>
      <c r="G388" s="38"/>
      <c r="H388" s="38"/>
      <c r="I388" s="38"/>
      <c r="J388" s="38"/>
      <c r="K388" s="38"/>
      <c r="L388" s="38"/>
      <c r="M388" s="38"/>
      <c r="N388" s="39"/>
      <c r="O388" s="38"/>
      <c r="P388" s="30"/>
      <c r="Q388" s="35"/>
      <c r="R388" s="31"/>
      <c r="S388" s="31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31"/>
      <c r="AH388" s="31"/>
      <c r="AI388" s="31"/>
      <c r="AJ388" s="31"/>
    </row>
    <row r="389" customFormat="false" ht="14.25" hidden="false" customHeight="true" outlineLevel="0" collapsed="false">
      <c r="A389" s="116"/>
      <c r="B389" s="19"/>
      <c r="C389" s="19"/>
      <c r="D389" s="36"/>
      <c r="E389" s="19"/>
      <c r="F389" s="37"/>
      <c r="G389" s="38"/>
      <c r="H389" s="38"/>
      <c r="I389" s="38"/>
      <c r="J389" s="38"/>
      <c r="K389" s="38"/>
      <c r="L389" s="38"/>
      <c r="M389" s="38"/>
      <c r="N389" s="39"/>
      <c r="O389" s="38"/>
      <c r="P389" s="30"/>
      <c r="Q389" s="35"/>
      <c r="R389" s="31"/>
      <c r="S389" s="31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31"/>
      <c r="AH389" s="31"/>
      <c r="AI389" s="31"/>
      <c r="AJ389" s="31"/>
    </row>
    <row r="390" customFormat="false" ht="14.25" hidden="false" customHeight="true" outlineLevel="0" collapsed="false">
      <c r="A390" s="116"/>
      <c r="B390" s="19"/>
      <c r="C390" s="19"/>
      <c r="D390" s="36"/>
      <c r="E390" s="19"/>
      <c r="F390" s="37"/>
      <c r="G390" s="38"/>
      <c r="H390" s="38"/>
      <c r="I390" s="38"/>
      <c r="J390" s="38"/>
      <c r="K390" s="38"/>
      <c r="L390" s="38"/>
      <c r="M390" s="38"/>
      <c r="N390" s="39"/>
      <c r="O390" s="38"/>
      <c r="P390" s="30"/>
      <c r="Q390" s="35"/>
      <c r="R390" s="31"/>
      <c r="S390" s="31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31"/>
      <c r="AH390" s="31"/>
      <c r="AI390" s="31"/>
      <c r="AJ390" s="31"/>
    </row>
    <row r="391" customFormat="false" ht="14.25" hidden="false" customHeight="true" outlineLevel="0" collapsed="false">
      <c r="A391" s="116"/>
      <c r="B391" s="19"/>
      <c r="C391" s="19"/>
      <c r="D391" s="36"/>
      <c r="E391" s="19"/>
      <c r="F391" s="37"/>
      <c r="G391" s="38"/>
      <c r="H391" s="38"/>
      <c r="I391" s="38"/>
      <c r="J391" s="38"/>
      <c r="K391" s="38"/>
      <c r="L391" s="38"/>
      <c r="M391" s="38"/>
      <c r="N391" s="39"/>
      <c r="O391" s="38"/>
      <c r="P391" s="30"/>
      <c r="Q391" s="35"/>
      <c r="R391" s="31"/>
      <c r="S391" s="31"/>
      <c r="T391" s="31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F391" s="31"/>
      <c r="AG391" s="31"/>
      <c r="AH391" s="31"/>
      <c r="AI391" s="31"/>
      <c r="AJ391" s="31"/>
    </row>
    <row r="392" customFormat="false" ht="14.25" hidden="false" customHeight="true" outlineLevel="0" collapsed="false">
      <c r="A392" s="116"/>
      <c r="B392" s="19"/>
      <c r="C392" s="19"/>
      <c r="D392" s="36"/>
      <c r="E392" s="19"/>
      <c r="F392" s="37"/>
      <c r="G392" s="38"/>
      <c r="H392" s="38"/>
      <c r="I392" s="38"/>
      <c r="J392" s="38"/>
      <c r="K392" s="38"/>
      <c r="L392" s="38"/>
      <c r="M392" s="38"/>
      <c r="N392" s="39"/>
      <c r="O392" s="38"/>
      <c r="P392" s="30"/>
      <c r="Q392" s="35"/>
      <c r="R392" s="31"/>
      <c r="S392" s="31"/>
      <c r="T392" s="31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F392" s="31"/>
      <c r="AG392" s="31"/>
      <c r="AH392" s="31"/>
      <c r="AI392" s="31"/>
      <c r="AJ392" s="31"/>
    </row>
    <row r="393" customFormat="false" ht="14.25" hidden="false" customHeight="true" outlineLevel="0" collapsed="false">
      <c r="A393" s="116"/>
      <c r="B393" s="19"/>
      <c r="C393" s="19"/>
      <c r="D393" s="36"/>
      <c r="E393" s="19"/>
      <c r="F393" s="37"/>
      <c r="G393" s="38"/>
      <c r="H393" s="38"/>
      <c r="I393" s="38"/>
      <c r="J393" s="38"/>
      <c r="K393" s="38"/>
      <c r="L393" s="38"/>
      <c r="M393" s="38"/>
      <c r="N393" s="39"/>
      <c r="O393" s="38"/>
      <c r="P393" s="30"/>
      <c r="Q393" s="35"/>
      <c r="R393" s="31"/>
      <c r="S393" s="31"/>
      <c r="T393" s="31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F393" s="31"/>
      <c r="AG393" s="31"/>
      <c r="AH393" s="31"/>
      <c r="AI393" s="31"/>
      <c r="AJ393" s="31"/>
    </row>
    <row r="394" customFormat="false" ht="14.25" hidden="false" customHeight="true" outlineLevel="0" collapsed="false">
      <c r="A394" s="116"/>
      <c r="B394" s="19"/>
      <c r="C394" s="19"/>
      <c r="D394" s="36"/>
      <c r="E394" s="19"/>
      <c r="F394" s="37"/>
      <c r="G394" s="38"/>
      <c r="H394" s="38"/>
      <c r="I394" s="38"/>
      <c r="J394" s="38"/>
      <c r="K394" s="38"/>
      <c r="L394" s="38"/>
      <c r="M394" s="38"/>
      <c r="N394" s="39"/>
      <c r="O394" s="38"/>
      <c r="P394" s="30"/>
      <c r="Q394" s="35"/>
      <c r="R394" s="31"/>
      <c r="S394" s="31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31"/>
      <c r="AH394" s="31"/>
      <c r="AI394" s="31"/>
      <c r="AJ394" s="31"/>
    </row>
    <row r="395" customFormat="false" ht="14.25" hidden="false" customHeight="true" outlineLevel="0" collapsed="false">
      <c r="A395" s="116"/>
      <c r="B395" s="19"/>
      <c r="C395" s="19"/>
      <c r="D395" s="36"/>
      <c r="E395" s="19"/>
      <c r="F395" s="37"/>
      <c r="G395" s="38"/>
      <c r="H395" s="38"/>
      <c r="I395" s="38"/>
      <c r="J395" s="38"/>
      <c r="K395" s="38"/>
      <c r="L395" s="38"/>
      <c r="M395" s="38"/>
      <c r="N395" s="39"/>
      <c r="O395" s="38"/>
      <c r="P395" s="30"/>
      <c r="Q395" s="35"/>
      <c r="R395" s="31"/>
      <c r="S395" s="31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31"/>
      <c r="AH395" s="31"/>
      <c r="AI395" s="31"/>
      <c r="AJ395" s="31"/>
    </row>
    <row r="396" customFormat="false" ht="14.25" hidden="false" customHeight="true" outlineLevel="0" collapsed="false">
      <c r="A396" s="116"/>
      <c r="B396" s="19"/>
      <c r="C396" s="19"/>
      <c r="D396" s="36"/>
      <c r="E396" s="19"/>
      <c r="F396" s="37"/>
      <c r="G396" s="38"/>
      <c r="H396" s="38"/>
      <c r="I396" s="38"/>
      <c r="J396" s="38"/>
      <c r="K396" s="38"/>
      <c r="L396" s="38"/>
      <c r="M396" s="38"/>
      <c r="N396" s="39"/>
      <c r="O396" s="38"/>
      <c r="P396" s="30"/>
      <c r="Q396" s="35"/>
      <c r="R396" s="31"/>
      <c r="S396" s="31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31"/>
      <c r="AH396" s="31"/>
      <c r="AI396" s="31"/>
      <c r="AJ396" s="31"/>
    </row>
    <row r="397" customFormat="false" ht="14.25" hidden="false" customHeight="true" outlineLevel="0" collapsed="false">
      <c r="A397" s="116"/>
      <c r="B397" s="19"/>
      <c r="C397" s="19"/>
      <c r="D397" s="36"/>
      <c r="E397" s="19"/>
      <c r="F397" s="37"/>
      <c r="G397" s="38"/>
      <c r="H397" s="38"/>
      <c r="I397" s="38"/>
      <c r="J397" s="38"/>
      <c r="K397" s="38"/>
      <c r="L397" s="38"/>
      <c r="M397" s="38"/>
      <c r="N397" s="39"/>
      <c r="O397" s="38"/>
      <c r="P397" s="30"/>
      <c r="Q397" s="35"/>
      <c r="R397" s="31"/>
      <c r="S397" s="31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31"/>
      <c r="AH397" s="31"/>
      <c r="AI397" s="31"/>
      <c r="AJ397" s="31"/>
    </row>
    <row r="398" customFormat="false" ht="14.25" hidden="false" customHeight="true" outlineLevel="0" collapsed="false">
      <c r="A398" s="116"/>
      <c r="B398" s="19"/>
      <c r="C398" s="19"/>
      <c r="D398" s="36"/>
      <c r="E398" s="19"/>
      <c r="F398" s="37"/>
      <c r="G398" s="38"/>
      <c r="H398" s="38"/>
      <c r="I398" s="38"/>
      <c r="J398" s="38"/>
      <c r="K398" s="38"/>
      <c r="L398" s="38"/>
      <c r="M398" s="38"/>
      <c r="N398" s="39"/>
      <c r="O398" s="38"/>
      <c r="P398" s="30"/>
      <c r="Q398" s="35"/>
      <c r="R398" s="31"/>
      <c r="S398" s="31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31"/>
      <c r="AH398" s="31"/>
      <c r="AI398" s="31"/>
      <c r="AJ398" s="31"/>
    </row>
    <row r="399" customFormat="false" ht="14.25" hidden="false" customHeight="true" outlineLevel="0" collapsed="false">
      <c r="A399" s="116"/>
      <c r="B399" s="19"/>
      <c r="C399" s="19"/>
      <c r="D399" s="36"/>
      <c r="E399" s="19"/>
      <c r="F399" s="37"/>
      <c r="G399" s="38"/>
      <c r="H399" s="38"/>
      <c r="I399" s="38"/>
      <c r="J399" s="38"/>
      <c r="K399" s="38"/>
      <c r="L399" s="38"/>
      <c r="M399" s="38"/>
      <c r="N399" s="39"/>
      <c r="O399" s="38"/>
      <c r="P399" s="30"/>
      <c r="Q399" s="35"/>
      <c r="R399" s="31"/>
      <c r="S399" s="31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31"/>
      <c r="AH399" s="31"/>
      <c r="AI399" s="31"/>
      <c r="AJ399" s="31"/>
    </row>
    <row r="400" customFormat="false" ht="14.25" hidden="false" customHeight="true" outlineLevel="0" collapsed="false">
      <c r="A400" s="116"/>
      <c r="B400" s="19"/>
      <c r="C400" s="19"/>
      <c r="D400" s="36"/>
      <c r="E400" s="19"/>
      <c r="F400" s="37"/>
      <c r="G400" s="38"/>
      <c r="H400" s="38"/>
      <c r="I400" s="38"/>
      <c r="J400" s="38"/>
      <c r="K400" s="38"/>
      <c r="L400" s="38"/>
      <c r="M400" s="38"/>
      <c r="N400" s="39"/>
      <c r="O400" s="38"/>
      <c r="P400" s="30"/>
      <c r="Q400" s="35"/>
      <c r="R400" s="31"/>
      <c r="S400" s="31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31"/>
      <c r="AH400" s="31"/>
      <c r="AI400" s="31"/>
      <c r="AJ400" s="31"/>
    </row>
    <row r="401" customFormat="false" ht="14.25" hidden="false" customHeight="true" outlineLevel="0" collapsed="false">
      <c r="A401" s="116"/>
      <c r="B401" s="19"/>
      <c r="C401" s="19"/>
      <c r="D401" s="36"/>
      <c r="E401" s="19"/>
      <c r="F401" s="37"/>
      <c r="G401" s="38"/>
      <c r="H401" s="38"/>
      <c r="I401" s="38"/>
      <c r="J401" s="38"/>
      <c r="K401" s="38"/>
      <c r="L401" s="38"/>
      <c r="M401" s="38"/>
      <c r="N401" s="39"/>
      <c r="O401" s="38"/>
      <c r="P401" s="30"/>
      <c r="Q401" s="35"/>
      <c r="R401" s="31"/>
      <c r="S401" s="31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31"/>
      <c r="AH401" s="31"/>
      <c r="AI401" s="31"/>
      <c r="AJ401" s="31"/>
    </row>
    <row r="402" customFormat="false" ht="14.25" hidden="false" customHeight="true" outlineLevel="0" collapsed="false">
      <c r="A402" s="116"/>
      <c r="B402" s="19"/>
      <c r="C402" s="19"/>
      <c r="D402" s="36"/>
      <c r="E402" s="19"/>
      <c r="F402" s="37"/>
      <c r="G402" s="38"/>
      <c r="H402" s="38"/>
      <c r="I402" s="38"/>
      <c r="J402" s="38"/>
      <c r="K402" s="38"/>
      <c r="L402" s="38"/>
      <c r="M402" s="38"/>
      <c r="N402" s="39"/>
      <c r="O402" s="38"/>
      <c r="P402" s="30"/>
      <c r="Q402" s="35"/>
      <c r="R402" s="31"/>
      <c r="S402" s="31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31"/>
      <c r="AH402" s="31"/>
      <c r="AI402" s="31"/>
      <c r="AJ402" s="31"/>
    </row>
    <row r="403" customFormat="false" ht="14.25" hidden="false" customHeight="true" outlineLevel="0" collapsed="false">
      <c r="A403" s="116"/>
      <c r="B403" s="19"/>
      <c r="C403" s="19"/>
      <c r="D403" s="36"/>
      <c r="E403" s="19"/>
      <c r="F403" s="37"/>
      <c r="G403" s="38"/>
      <c r="H403" s="38"/>
      <c r="I403" s="38"/>
      <c r="J403" s="38"/>
      <c r="K403" s="38"/>
      <c r="L403" s="38"/>
      <c r="M403" s="38"/>
      <c r="N403" s="39"/>
      <c r="O403" s="38"/>
      <c r="P403" s="30"/>
      <c r="Q403" s="35"/>
      <c r="R403" s="31"/>
      <c r="S403" s="31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31"/>
      <c r="AH403" s="31"/>
      <c r="AI403" s="31"/>
      <c r="AJ403" s="31"/>
    </row>
    <row r="404" customFormat="false" ht="14.25" hidden="false" customHeight="true" outlineLevel="0" collapsed="false">
      <c r="A404" s="116"/>
      <c r="B404" s="19"/>
      <c r="C404" s="19"/>
      <c r="D404" s="36"/>
      <c r="E404" s="19"/>
      <c r="F404" s="37"/>
      <c r="G404" s="38"/>
      <c r="H404" s="38"/>
      <c r="I404" s="38"/>
      <c r="J404" s="38"/>
      <c r="K404" s="38"/>
      <c r="L404" s="38"/>
      <c r="M404" s="38"/>
      <c r="N404" s="39"/>
      <c r="O404" s="38"/>
      <c r="P404" s="30"/>
      <c r="Q404" s="35"/>
      <c r="R404" s="31"/>
      <c r="S404" s="31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31"/>
      <c r="AH404" s="31"/>
      <c r="AI404" s="31"/>
      <c r="AJ404" s="31"/>
    </row>
    <row r="405" customFormat="false" ht="14.25" hidden="false" customHeight="true" outlineLevel="0" collapsed="false">
      <c r="A405" s="116"/>
      <c r="B405" s="19"/>
      <c r="C405" s="19"/>
      <c r="D405" s="36"/>
      <c r="E405" s="19"/>
      <c r="F405" s="37"/>
      <c r="G405" s="38"/>
      <c r="H405" s="38"/>
      <c r="I405" s="38"/>
      <c r="J405" s="38"/>
      <c r="K405" s="38"/>
      <c r="L405" s="38"/>
      <c r="M405" s="38"/>
      <c r="N405" s="39"/>
      <c r="O405" s="38"/>
      <c r="P405" s="30"/>
      <c r="Q405" s="35"/>
      <c r="R405" s="31"/>
      <c r="S405" s="31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31"/>
      <c r="AH405" s="31"/>
      <c r="AI405" s="31"/>
      <c r="AJ405" s="31"/>
    </row>
    <row r="406" customFormat="false" ht="14.25" hidden="false" customHeight="true" outlineLevel="0" collapsed="false">
      <c r="A406" s="116"/>
      <c r="B406" s="19"/>
      <c r="C406" s="19"/>
      <c r="D406" s="36"/>
      <c r="E406" s="19"/>
      <c r="F406" s="37"/>
      <c r="G406" s="38"/>
      <c r="H406" s="38"/>
      <c r="I406" s="38"/>
      <c r="J406" s="38"/>
      <c r="K406" s="38"/>
      <c r="L406" s="38"/>
      <c r="M406" s="38"/>
      <c r="N406" s="39"/>
      <c r="O406" s="38"/>
      <c r="P406" s="30"/>
      <c r="Q406" s="35"/>
      <c r="R406" s="31"/>
      <c r="S406" s="31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31"/>
      <c r="AH406" s="31"/>
      <c r="AI406" s="31"/>
      <c r="AJ406" s="31"/>
    </row>
    <row r="407" customFormat="false" ht="14.25" hidden="false" customHeight="true" outlineLevel="0" collapsed="false">
      <c r="A407" s="116"/>
      <c r="B407" s="19"/>
      <c r="C407" s="19"/>
      <c r="D407" s="36"/>
      <c r="E407" s="19"/>
      <c r="F407" s="37"/>
      <c r="G407" s="38"/>
      <c r="H407" s="38"/>
      <c r="I407" s="38"/>
      <c r="J407" s="38"/>
      <c r="K407" s="38"/>
      <c r="L407" s="38"/>
      <c r="M407" s="38"/>
      <c r="N407" s="39"/>
      <c r="O407" s="38"/>
      <c r="P407" s="30"/>
      <c r="Q407" s="35"/>
      <c r="R407" s="31"/>
      <c r="S407" s="31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31"/>
      <c r="AH407" s="31"/>
      <c r="AI407" s="31"/>
      <c r="AJ407" s="31"/>
    </row>
    <row r="408" customFormat="false" ht="14.25" hidden="false" customHeight="true" outlineLevel="0" collapsed="false">
      <c r="A408" s="116"/>
      <c r="B408" s="19"/>
      <c r="C408" s="19"/>
      <c r="D408" s="36"/>
      <c r="E408" s="19"/>
      <c r="F408" s="37"/>
      <c r="G408" s="38"/>
      <c r="H408" s="38"/>
      <c r="I408" s="38"/>
      <c r="J408" s="38"/>
      <c r="K408" s="38"/>
      <c r="L408" s="38"/>
      <c r="M408" s="38"/>
      <c r="N408" s="39"/>
      <c r="O408" s="38"/>
      <c r="P408" s="30"/>
      <c r="Q408" s="35"/>
      <c r="R408" s="31"/>
      <c r="S408" s="31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31"/>
      <c r="AH408" s="31"/>
      <c r="AI408" s="31"/>
      <c r="AJ408" s="31"/>
    </row>
    <row r="409" customFormat="false" ht="14.25" hidden="false" customHeight="true" outlineLevel="0" collapsed="false">
      <c r="A409" s="116"/>
      <c r="B409" s="19"/>
      <c r="C409" s="19"/>
      <c r="D409" s="36"/>
      <c r="E409" s="19"/>
      <c r="F409" s="37"/>
      <c r="G409" s="38"/>
      <c r="H409" s="38"/>
      <c r="I409" s="38"/>
      <c r="J409" s="38"/>
      <c r="K409" s="38"/>
      <c r="L409" s="38"/>
      <c r="M409" s="38"/>
      <c r="N409" s="39"/>
      <c r="O409" s="38"/>
      <c r="P409" s="30"/>
      <c r="Q409" s="35"/>
      <c r="R409" s="31"/>
      <c r="S409" s="31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31"/>
      <c r="AH409" s="31"/>
      <c r="AI409" s="31"/>
      <c r="AJ409" s="31"/>
    </row>
    <row r="410" customFormat="false" ht="14.25" hidden="false" customHeight="true" outlineLevel="0" collapsed="false">
      <c r="A410" s="116"/>
      <c r="B410" s="19"/>
      <c r="C410" s="19"/>
      <c r="D410" s="36"/>
      <c r="E410" s="19"/>
      <c r="F410" s="37"/>
      <c r="G410" s="38"/>
      <c r="H410" s="38"/>
      <c r="I410" s="38"/>
      <c r="J410" s="38"/>
      <c r="K410" s="38"/>
      <c r="L410" s="38"/>
      <c r="M410" s="38"/>
      <c r="N410" s="39"/>
      <c r="O410" s="38"/>
      <c r="P410" s="30"/>
      <c r="Q410" s="35"/>
      <c r="R410" s="31"/>
      <c r="S410" s="31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31"/>
      <c r="AH410" s="31"/>
      <c r="AI410" s="31"/>
      <c r="AJ410" s="31"/>
    </row>
    <row r="411" customFormat="false" ht="14.25" hidden="false" customHeight="true" outlineLevel="0" collapsed="false">
      <c r="A411" s="116"/>
      <c r="B411" s="19"/>
      <c r="C411" s="19"/>
      <c r="D411" s="36"/>
      <c r="E411" s="19"/>
      <c r="F411" s="37"/>
      <c r="G411" s="38"/>
      <c r="H411" s="38"/>
      <c r="I411" s="38"/>
      <c r="J411" s="38"/>
      <c r="K411" s="38"/>
      <c r="L411" s="38"/>
      <c r="M411" s="38"/>
      <c r="N411" s="39"/>
      <c r="O411" s="38"/>
      <c r="P411" s="30"/>
      <c r="Q411" s="35"/>
      <c r="R411" s="31"/>
      <c r="S411" s="31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31"/>
      <c r="AH411" s="31"/>
      <c r="AI411" s="31"/>
      <c r="AJ411" s="31"/>
    </row>
    <row r="412" customFormat="false" ht="14.25" hidden="false" customHeight="true" outlineLevel="0" collapsed="false">
      <c r="A412" s="116"/>
      <c r="B412" s="19"/>
      <c r="C412" s="19"/>
      <c r="D412" s="36"/>
      <c r="E412" s="19"/>
      <c r="F412" s="37"/>
      <c r="G412" s="38"/>
      <c r="H412" s="38"/>
      <c r="I412" s="38"/>
      <c r="J412" s="38"/>
      <c r="K412" s="38"/>
      <c r="L412" s="38"/>
      <c r="M412" s="38"/>
      <c r="N412" s="39"/>
      <c r="O412" s="38"/>
      <c r="P412" s="30"/>
      <c r="Q412" s="35"/>
      <c r="R412" s="31"/>
      <c r="S412" s="31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31"/>
      <c r="AH412" s="31"/>
      <c r="AI412" s="31"/>
      <c r="AJ412" s="31"/>
    </row>
    <row r="413" customFormat="false" ht="14.25" hidden="false" customHeight="true" outlineLevel="0" collapsed="false">
      <c r="A413" s="116"/>
      <c r="B413" s="19"/>
      <c r="C413" s="19"/>
      <c r="D413" s="36"/>
      <c r="E413" s="19"/>
      <c r="F413" s="37"/>
      <c r="G413" s="38"/>
      <c r="H413" s="38"/>
      <c r="I413" s="38"/>
      <c r="J413" s="38"/>
      <c r="K413" s="38"/>
      <c r="L413" s="38"/>
      <c r="M413" s="38"/>
      <c r="N413" s="39"/>
      <c r="O413" s="38"/>
      <c r="P413" s="30"/>
      <c r="Q413" s="35"/>
      <c r="R413" s="31"/>
      <c r="S413" s="31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31"/>
      <c r="AH413" s="31"/>
      <c r="AI413" s="31"/>
      <c r="AJ413" s="31"/>
    </row>
    <row r="414" customFormat="false" ht="14.25" hidden="false" customHeight="true" outlineLevel="0" collapsed="false">
      <c r="A414" s="116"/>
      <c r="B414" s="19"/>
      <c r="C414" s="19"/>
      <c r="D414" s="36"/>
      <c r="E414" s="19"/>
      <c r="F414" s="37"/>
      <c r="G414" s="38"/>
      <c r="H414" s="38"/>
      <c r="I414" s="38"/>
      <c r="J414" s="38"/>
      <c r="K414" s="38"/>
      <c r="L414" s="38"/>
      <c r="M414" s="38"/>
      <c r="N414" s="39"/>
      <c r="O414" s="38"/>
      <c r="P414" s="30"/>
      <c r="Q414" s="35"/>
      <c r="R414" s="31"/>
      <c r="S414" s="31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31"/>
      <c r="AH414" s="31"/>
      <c r="AI414" s="31"/>
      <c r="AJ414" s="31"/>
    </row>
    <row r="415" customFormat="false" ht="14.25" hidden="false" customHeight="true" outlineLevel="0" collapsed="false">
      <c r="A415" s="116"/>
      <c r="B415" s="19"/>
      <c r="C415" s="19"/>
      <c r="D415" s="36"/>
      <c r="E415" s="19"/>
      <c r="F415" s="37"/>
      <c r="G415" s="38"/>
      <c r="H415" s="38"/>
      <c r="I415" s="38"/>
      <c r="J415" s="38"/>
      <c r="K415" s="38"/>
      <c r="L415" s="38"/>
      <c r="M415" s="38"/>
      <c r="N415" s="39"/>
      <c r="O415" s="38"/>
      <c r="P415" s="30"/>
      <c r="Q415" s="35"/>
      <c r="R415" s="31"/>
      <c r="S415" s="31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31"/>
      <c r="AH415" s="31"/>
      <c r="AI415" s="31"/>
      <c r="AJ415" s="31"/>
    </row>
    <row r="416" customFormat="false" ht="14.25" hidden="false" customHeight="true" outlineLevel="0" collapsed="false">
      <c r="A416" s="116"/>
      <c r="B416" s="19"/>
      <c r="C416" s="19"/>
      <c r="D416" s="36"/>
      <c r="E416" s="19"/>
      <c r="F416" s="37"/>
      <c r="G416" s="38"/>
      <c r="H416" s="38"/>
      <c r="I416" s="38"/>
      <c r="J416" s="38"/>
      <c r="K416" s="38"/>
      <c r="L416" s="38"/>
      <c r="M416" s="38"/>
      <c r="N416" s="39"/>
      <c r="O416" s="38"/>
      <c r="P416" s="30"/>
      <c r="Q416" s="35"/>
      <c r="R416" s="31"/>
      <c r="S416" s="31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31"/>
      <c r="AH416" s="31"/>
      <c r="AI416" s="31"/>
      <c r="AJ416" s="31"/>
    </row>
    <row r="417" customFormat="false" ht="14.25" hidden="false" customHeight="true" outlineLevel="0" collapsed="false">
      <c r="A417" s="116"/>
      <c r="B417" s="19"/>
      <c r="C417" s="19"/>
      <c r="D417" s="36"/>
      <c r="E417" s="19"/>
      <c r="F417" s="37"/>
      <c r="G417" s="38"/>
      <c r="H417" s="38"/>
      <c r="I417" s="38"/>
      <c r="J417" s="38"/>
      <c r="K417" s="38"/>
      <c r="L417" s="38"/>
      <c r="M417" s="38"/>
      <c r="N417" s="39"/>
      <c r="O417" s="38"/>
      <c r="P417" s="30"/>
      <c r="Q417" s="35"/>
      <c r="R417" s="31"/>
      <c r="S417" s="31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31"/>
      <c r="AH417" s="31"/>
      <c r="AI417" s="31"/>
      <c r="AJ417" s="31"/>
    </row>
    <row r="418" customFormat="false" ht="14.25" hidden="false" customHeight="true" outlineLevel="0" collapsed="false">
      <c r="A418" s="116"/>
      <c r="B418" s="19"/>
      <c r="C418" s="19"/>
      <c r="D418" s="36"/>
      <c r="E418" s="19"/>
      <c r="F418" s="37"/>
      <c r="G418" s="38"/>
      <c r="H418" s="38"/>
      <c r="I418" s="38"/>
      <c r="J418" s="38"/>
      <c r="K418" s="38"/>
      <c r="L418" s="38"/>
      <c r="M418" s="38"/>
      <c r="N418" s="39"/>
      <c r="O418" s="38"/>
      <c r="P418" s="30"/>
      <c r="Q418" s="35"/>
      <c r="R418" s="31"/>
      <c r="S418" s="31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31"/>
      <c r="AH418" s="31"/>
      <c r="AI418" s="31"/>
      <c r="AJ418" s="31"/>
    </row>
    <row r="419" customFormat="false" ht="14.25" hidden="false" customHeight="true" outlineLevel="0" collapsed="false">
      <c r="A419" s="116"/>
      <c r="B419" s="19"/>
      <c r="C419" s="19"/>
      <c r="D419" s="36"/>
      <c r="E419" s="19"/>
      <c r="F419" s="37"/>
      <c r="G419" s="38"/>
      <c r="H419" s="38"/>
      <c r="I419" s="38"/>
      <c r="J419" s="38"/>
      <c r="K419" s="38"/>
      <c r="L419" s="38"/>
      <c r="M419" s="38"/>
      <c r="N419" s="39"/>
      <c r="O419" s="38"/>
      <c r="P419" s="30"/>
      <c r="Q419" s="35"/>
      <c r="R419" s="31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31"/>
      <c r="AH419" s="31"/>
      <c r="AI419" s="31"/>
      <c r="AJ419" s="31"/>
    </row>
    <row r="420" customFormat="false" ht="14.25" hidden="false" customHeight="true" outlineLevel="0" collapsed="false">
      <c r="A420" s="116"/>
      <c r="B420" s="19"/>
      <c r="C420" s="19"/>
      <c r="D420" s="36"/>
      <c r="E420" s="19"/>
      <c r="F420" s="37"/>
      <c r="G420" s="38"/>
      <c r="H420" s="38"/>
      <c r="I420" s="38"/>
      <c r="J420" s="38"/>
      <c r="K420" s="38"/>
      <c r="L420" s="38"/>
      <c r="M420" s="38"/>
      <c r="N420" s="39"/>
      <c r="O420" s="38"/>
      <c r="P420" s="30"/>
      <c r="Q420" s="35"/>
      <c r="R420" s="31"/>
      <c r="S420" s="31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31"/>
      <c r="AH420" s="31"/>
      <c r="AI420" s="31"/>
      <c r="AJ420" s="31"/>
    </row>
    <row r="421" customFormat="false" ht="14.25" hidden="false" customHeight="true" outlineLevel="0" collapsed="false">
      <c r="A421" s="116"/>
      <c r="B421" s="19"/>
      <c r="C421" s="19"/>
      <c r="D421" s="36"/>
      <c r="E421" s="19"/>
      <c r="F421" s="37"/>
      <c r="G421" s="38"/>
      <c r="H421" s="38"/>
      <c r="I421" s="38"/>
      <c r="J421" s="38"/>
      <c r="K421" s="38"/>
      <c r="L421" s="38"/>
      <c r="M421" s="38"/>
      <c r="N421" s="39"/>
      <c r="O421" s="38"/>
      <c r="P421" s="30"/>
      <c r="Q421" s="35"/>
      <c r="R421" s="31"/>
      <c r="S421" s="31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31"/>
      <c r="AH421" s="31"/>
      <c r="AI421" s="31"/>
      <c r="AJ421" s="31"/>
    </row>
    <row r="422" customFormat="false" ht="14.25" hidden="false" customHeight="true" outlineLevel="0" collapsed="false">
      <c r="A422" s="116"/>
      <c r="B422" s="19"/>
      <c r="C422" s="19"/>
      <c r="D422" s="36"/>
      <c r="E422" s="19"/>
      <c r="F422" s="37"/>
      <c r="G422" s="38"/>
      <c r="H422" s="38"/>
      <c r="I422" s="38"/>
      <c r="J422" s="38"/>
      <c r="K422" s="38"/>
      <c r="L422" s="38"/>
      <c r="M422" s="38"/>
      <c r="N422" s="39"/>
      <c r="O422" s="38"/>
      <c r="P422" s="30"/>
      <c r="Q422" s="35"/>
      <c r="R422" s="31"/>
      <c r="S422" s="31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31"/>
      <c r="AH422" s="31"/>
      <c r="AI422" s="31"/>
      <c r="AJ422" s="31"/>
    </row>
    <row r="423" customFormat="false" ht="14.25" hidden="false" customHeight="true" outlineLevel="0" collapsed="false">
      <c r="A423" s="116"/>
      <c r="B423" s="19"/>
      <c r="C423" s="19"/>
      <c r="D423" s="36"/>
      <c r="E423" s="19"/>
      <c r="F423" s="37"/>
      <c r="G423" s="38"/>
      <c r="H423" s="38"/>
      <c r="I423" s="38"/>
      <c r="J423" s="38"/>
      <c r="K423" s="38"/>
      <c r="L423" s="38"/>
      <c r="M423" s="38"/>
      <c r="N423" s="39"/>
      <c r="O423" s="38"/>
      <c r="P423" s="30"/>
      <c r="Q423" s="35"/>
      <c r="R423" s="31"/>
      <c r="S423" s="31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31"/>
      <c r="AH423" s="31"/>
      <c r="AI423" s="31"/>
      <c r="AJ423" s="31"/>
    </row>
    <row r="424" customFormat="false" ht="14.25" hidden="false" customHeight="true" outlineLevel="0" collapsed="false">
      <c r="A424" s="116"/>
      <c r="B424" s="19"/>
      <c r="C424" s="19"/>
      <c r="D424" s="36"/>
      <c r="E424" s="19"/>
      <c r="F424" s="37"/>
      <c r="G424" s="38"/>
      <c r="H424" s="38"/>
      <c r="I424" s="38"/>
      <c r="J424" s="38"/>
      <c r="K424" s="38"/>
      <c r="L424" s="38"/>
      <c r="M424" s="38"/>
      <c r="N424" s="39"/>
      <c r="O424" s="38"/>
      <c r="P424" s="30"/>
      <c r="Q424" s="35"/>
      <c r="R424" s="31"/>
      <c r="S424" s="31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31"/>
      <c r="AH424" s="31"/>
      <c r="AI424" s="31"/>
      <c r="AJ424" s="31"/>
    </row>
    <row r="425" customFormat="false" ht="14.25" hidden="false" customHeight="true" outlineLevel="0" collapsed="false">
      <c r="A425" s="116"/>
      <c r="B425" s="19"/>
      <c r="C425" s="19"/>
      <c r="D425" s="36"/>
      <c r="E425" s="19"/>
      <c r="F425" s="37"/>
      <c r="G425" s="38"/>
      <c r="H425" s="38"/>
      <c r="I425" s="38"/>
      <c r="J425" s="38"/>
      <c r="K425" s="38"/>
      <c r="L425" s="38"/>
      <c r="M425" s="38"/>
      <c r="N425" s="39"/>
      <c r="O425" s="38"/>
      <c r="P425" s="30"/>
      <c r="Q425" s="35"/>
      <c r="R425" s="31"/>
      <c r="S425" s="31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31"/>
      <c r="AH425" s="31"/>
      <c r="AI425" s="31"/>
      <c r="AJ425" s="31"/>
    </row>
    <row r="426" customFormat="false" ht="14.25" hidden="false" customHeight="true" outlineLevel="0" collapsed="false">
      <c r="A426" s="116"/>
      <c r="B426" s="19"/>
      <c r="C426" s="19"/>
      <c r="D426" s="36"/>
      <c r="E426" s="19"/>
      <c r="F426" s="37"/>
      <c r="G426" s="38"/>
      <c r="H426" s="38"/>
      <c r="I426" s="38"/>
      <c r="J426" s="38"/>
      <c r="K426" s="38"/>
      <c r="L426" s="38"/>
      <c r="M426" s="38"/>
      <c r="N426" s="39"/>
      <c r="O426" s="38"/>
      <c r="P426" s="30"/>
      <c r="Q426" s="35"/>
      <c r="R426" s="31"/>
      <c r="S426" s="31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31"/>
      <c r="AH426" s="31"/>
      <c r="AI426" s="31"/>
      <c r="AJ426" s="31"/>
    </row>
    <row r="427" customFormat="false" ht="14.25" hidden="false" customHeight="true" outlineLevel="0" collapsed="false">
      <c r="A427" s="116"/>
      <c r="B427" s="19"/>
      <c r="C427" s="19"/>
      <c r="D427" s="36"/>
      <c r="E427" s="19"/>
      <c r="F427" s="37"/>
      <c r="G427" s="38"/>
      <c r="H427" s="38"/>
      <c r="I427" s="38"/>
      <c r="J427" s="38"/>
      <c r="K427" s="38"/>
      <c r="L427" s="38"/>
      <c r="M427" s="38"/>
      <c r="N427" s="39"/>
      <c r="O427" s="38"/>
      <c r="P427" s="30"/>
      <c r="Q427" s="35"/>
      <c r="R427" s="31"/>
      <c r="S427" s="31"/>
      <c r="T427" s="31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F427" s="31"/>
      <c r="AG427" s="31"/>
      <c r="AH427" s="31"/>
      <c r="AI427" s="31"/>
      <c r="AJ427" s="31"/>
    </row>
    <row r="428" customFormat="false" ht="14.25" hidden="false" customHeight="true" outlineLevel="0" collapsed="false">
      <c r="A428" s="116"/>
      <c r="B428" s="19"/>
      <c r="C428" s="19"/>
      <c r="D428" s="36"/>
      <c r="E428" s="19"/>
      <c r="F428" s="37"/>
      <c r="G428" s="38"/>
      <c r="H428" s="38"/>
      <c r="I428" s="38"/>
      <c r="J428" s="38"/>
      <c r="K428" s="38"/>
      <c r="L428" s="38"/>
      <c r="M428" s="38"/>
      <c r="N428" s="39"/>
      <c r="O428" s="38"/>
      <c r="P428" s="30"/>
      <c r="Q428" s="35"/>
      <c r="R428" s="31"/>
      <c r="S428" s="31"/>
      <c r="T428" s="31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F428" s="31"/>
      <c r="AG428" s="31"/>
      <c r="AH428" s="31"/>
      <c r="AI428" s="31"/>
      <c r="AJ428" s="31"/>
    </row>
    <row r="429" customFormat="false" ht="14.25" hidden="false" customHeight="true" outlineLevel="0" collapsed="false">
      <c r="A429" s="116"/>
      <c r="B429" s="19"/>
      <c r="C429" s="19"/>
      <c r="D429" s="36"/>
      <c r="E429" s="19"/>
      <c r="F429" s="37"/>
      <c r="G429" s="38"/>
      <c r="H429" s="38"/>
      <c r="I429" s="38"/>
      <c r="J429" s="38"/>
      <c r="K429" s="38"/>
      <c r="L429" s="38"/>
      <c r="M429" s="38"/>
      <c r="N429" s="39"/>
      <c r="O429" s="38"/>
      <c r="P429" s="30"/>
      <c r="Q429" s="35"/>
      <c r="R429" s="31"/>
      <c r="S429" s="31"/>
      <c r="T429" s="31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F429" s="31"/>
      <c r="AG429" s="31"/>
      <c r="AH429" s="31"/>
      <c r="AI429" s="31"/>
      <c r="AJ429" s="31"/>
    </row>
    <row r="430" customFormat="false" ht="14.25" hidden="false" customHeight="true" outlineLevel="0" collapsed="false">
      <c r="A430" s="116"/>
      <c r="B430" s="19"/>
      <c r="C430" s="19"/>
      <c r="D430" s="36"/>
      <c r="E430" s="19"/>
      <c r="F430" s="37"/>
      <c r="G430" s="38"/>
      <c r="H430" s="38"/>
      <c r="I430" s="38"/>
      <c r="J430" s="38"/>
      <c r="K430" s="38"/>
      <c r="L430" s="38"/>
      <c r="M430" s="38"/>
      <c r="N430" s="39"/>
      <c r="O430" s="38"/>
      <c r="P430" s="30"/>
      <c r="Q430" s="35"/>
      <c r="R430" s="31"/>
      <c r="S430" s="31"/>
      <c r="T430" s="31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31"/>
      <c r="AH430" s="31"/>
      <c r="AI430" s="31"/>
      <c r="AJ430" s="31"/>
    </row>
    <row r="431" customFormat="false" ht="14.25" hidden="false" customHeight="true" outlineLevel="0" collapsed="false">
      <c r="A431" s="116"/>
      <c r="B431" s="19"/>
      <c r="C431" s="19"/>
      <c r="D431" s="36"/>
      <c r="E431" s="19"/>
      <c r="F431" s="37"/>
      <c r="G431" s="38"/>
      <c r="H431" s="38"/>
      <c r="I431" s="38"/>
      <c r="J431" s="38"/>
      <c r="K431" s="38"/>
      <c r="L431" s="38"/>
      <c r="M431" s="38"/>
      <c r="N431" s="39"/>
      <c r="O431" s="38"/>
      <c r="P431" s="30"/>
      <c r="Q431" s="35"/>
      <c r="R431" s="31"/>
      <c r="S431" s="31"/>
      <c r="T431" s="31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31"/>
      <c r="AH431" s="31"/>
      <c r="AI431" s="31"/>
      <c r="AJ431" s="31"/>
    </row>
    <row r="432" customFormat="false" ht="14.25" hidden="false" customHeight="true" outlineLevel="0" collapsed="false">
      <c r="A432" s="116"/>
      <c r="B432" s="19"/>
      <c r="C432" s="19"/>
      <c r="D432" s="36"/>
      <c r="E432" s="19"/>
      <c r="F432" s="37"/>
      <c r="G432" s="38"/>
      <c r="H432" s="38"/>
      <c r="I432" s="38"/>
      <c r="J432" s="38"/>
      <c r="K432" s="38"/>
      <c r="L432" s="38"/>
      <c r="M432" s="38"/>
      <c r="N432" s="39"/>
      <c r="O432" s="38"/>
      <c r="P432" s="30"/>
      <c r="Q432" s="35"/>
      <c r="R432" s="31"/>
      <c r="S432" s="31"/>
      <c r="T432" s="31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31"/>
      <c r="AH432" s="31"/>
      <c r="AI432" s="31"/>
      <c r="AJ432" s="31"/>
    </row>
    <row r="433" customFormat="false" ht="14.25" hidden="false" customHeight="true" outlineLevel="0" collapsed="false">
      <c r="A433" s="116"/>
      <c r="B433" s="19"/>
      <c r="C433" s="19"/>
      <c r="D433" s="36"/>
      <c r="E433" s="19"/>
      <c r="F433" s="37"/>
      <c r="G433" s="38"/>
      <c r="H433" s="38"/>
      <c r="I433" s="38"/>
      <c r="J433" s="38"/>
      <c r="K433" s="38"/>
      <c r="L433" s="38"/>
      <c r="M433" s="38"/>
      <c r="N433" s="39"/>
      <c r="O433" s="38"/>
      <c r="P433" s="30"/>
      <c r="Q433" s="35"/>
      <c r="R433" s="31"/>
      <c r="S433" s="31"/>
      <c r="T433" s="31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31"/>
      <c r="AH433" s="31"/>
      <c r="AI433" s="31"/>
      <c r="AJ433" s="31"/>
    </row>
    <row r="434" customFormat="false" ht="14.25" hidden="false" customHeight="true" outlineLevel="0" collapsed="false">
      <c r="A434" s="116"/>
      <c r="B434" s="19"/>
      <c r="C434" s="19"/>
      <c r="D434" s="36"/>
      <c r="E434" s="19"/>
      <c r="F434" s="37"/>
      <c r="G434" s="38"/>
      <c r="H434" s="38"/>
      <c r="I434" s="38"/>
      <c r="J434" s="38"/>
      <c r="K434" s="38"/>
      <c r="L434" s="38"/>
      <c r="M434" s="38"/>
      <c r="N434" s="39"/>
      <c r="O434" s="38"/>
      <c r="P434" s="30"/>
      <c r="Q434" s="35"/>
      <c r="R434" s="31"/>
      <c r="S434" s="31"/>
      <c r="T434" s="31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31"/>
      <c r="AH434" s="31"/>
      <c r="AI434" s="31"/>
      <c r="AJ434" s="31"/>
    </row>
    <row r="435" customFormat="false" ht="14.25" hidden="false" customHeight="true" outlineLevel="0" collapsed="false">
      <c r="A435" s="116"/>
      <c r="B435" s="19"/>
      <c r="C435" s="19"/>
      <c r="D435" s="36"/>
      <c r="E435" s="19"/>
      <c r="F435" s="37"/>
      <c r="G435" s="38"/>
      <c r="H435" s="38"/>
      <c r="I435" s="38"/>
      <c r="J435" s="38"/>
      <c r="K435" s="38"/>
      <c r="L435" s="38"/>
      <c r="M435" s="38"/>
      <c r="N435" s="39"/>
      <c r="O435" s="38"/>
      <c r="P435" s="30"/>
      <c r="Q435" s="35"/>
      <c r="R435" s="31"/>
      <c r="S435" s="31"/>
      <c r="T435" s="31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31"/>
      <c r="AH435" s="31"/>
      <c r="AI435" s="31"/>
      <c r="AJ435" s="31"/>
    </row>
    <row r="436" customFormat="false" ht="14.25" hidden="false" customHeight="true" outlineLevel="0" collapsed="false">
      <c r="A436" s="116"/>
      <c r="B436" s="19"/>
      <c r="C436" s="19"/>
      <c r="D436" s="36"/>
      <c r="E436" s="19"/>
      <c r="F436" s="37"/>
      <c r="G436" s="38"/>
      <c r="H436" s="38"/>
      <c r="I436" s="38"/>
      <c r="J436" s="38"/>
      <c r="K436" s="38"/>
      <c r="L436" s="38"/>
      <c r="M436" s="38"/>
      <c r="N436" s="39"/>
      <c r="O436" s="38"/>
      <c r="P436" s="30"/>
      <c r="Q436" s="35"/>
      <c r="R436" s="31"/>
      <c r="S436" s="31"/>
      <c r="T436" s="31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31"/>
      <c r="AH436" s="31"/>
      <c r="AI436" s="31"/>
      <c r="AJ436" s="31"/>
    </row>
    <row r="437" customFormat="false" ht="14.25" hidden="false" customHeight="true" outlineLevel="0" collapsed="false">
      <c r="A437" s="116"/>
      <c r="B437" s="19"/>
      <c r="C437" s="19"/>
      <c r="D437" s="36"/>
      <c r="E437" s="19"/>
      <c r="F437" s="37"/>
      <c r="G437" s="38"/>
      <c r="H437" s="38"/>
      <c r="I437" s="38"/>
      <c r="J437" s="38"/>
      <c r="K437" s="38"/>
      <c r="L437" s="38"/>
      <c r="M437" s="38"/>
      <c r="N437" s="39"/>
      <c r="O437" s="38"/>
      <c r="P437" s="30"/>
      <c r="Q437" s="35"/>
      <c r="R437" s="31"/>
      <c r="S437" s="31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31"/>
      <c r="AH437" s="31"/>
      <c r="AI437" s="31"/>
      <c r="AJ437" s="31"/>
    </row>
    <row r="438" customFormat="false" ht="14.25" hidden="false" customHeight="true" outlineLevel="0" collapsed="false">
      <c r="A438" s="116"/>
      <c r="B438" s="19"/>
      <c r="C438" s="19"/>
      <c r="D438" s="36"/>
      <c r="E438" s="19"/>
      <c r="F438" s="37"/>
      <c r="G438" s="38"/>
      <c r="H438" s="38"/>
      <c r="I438" s="38"/>
      <c r="J438" s="38"/>
      <c r="K438" s="38"/>
      <c r="L438" s="38"/>
      <c r="M438" s="38"/>
      <c r="N438" s="39"/>
      <c r="O438" s="38"/>
      <c r="P438" s="30"/>
      <c r="Q438" s="35"/>
      <c r="R438" s="31"/>
      <c r="S438" s="31"/>
      <c r="T438" s="31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31"/>
      <c r="AH438" s="31"/>
      <c r="AI438" s="31"/>
      <c r="AJ438" s="31"/>
    </row>
    <row r="439" customFormat="false" ht="14.25" hidden="false" customHeight="true" outlineLevel="0" collapsed="false">
      <c r="A439" s="116"/>
      <c r="B439" s="19"/>
      <c r="C439" s="19"/>
      <c r="D439" s="36"/>
      <c r="E439" s="19"/>
      <c r="F439" s="37"/>
      <c r="G439" s="38"/>
      <c r="H439" s="38"/>
      <c r="I439" s="38"/>
      <c r="J439" s="38"/>
      <c r="K439" s="38"/>
      <c r="L439" s="38"/>
      <c r="M439" s="38"/>
      <c r="N439" s="39"/>
      <c r="O439" s="38"/>
      <c r="P439" s="30"/>
      <c r="Q439" s="35"/>
      <c r="R439" s="31"/>
      <c r="S439" s="31"/>
      <c r="T439" s="31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31"/>
      <c r="AH439" s="31"/>
      <c r="AI439" s="31"/>
      <c r="AJ439" s="31"/>
    </row>
    <row r="440" customFormat="false" ht="14.25" hidden="false" customHeight="true" outlineLevel="0" collapsed="false">
      <c r="A440" s="116"/>
      <c r="B440" s="19"/>
      <c r="C440" s="19"/>
      <c r="D440" s="36"/>
      <c r="E440" s="19"/>
      <c r="F440" s="37"/>
      <c r="G440" s="38"/>
      <c r="H440" s="38"/>
      <c r="I440" s="38"/>
      <c r="J440" s="38"/>
      <c r="K440" s="38"/>
      <c r="L440" s="38"/>
      <c r="M440" s="38"/>
      <c r="N440" s="39"/>
      <c r="O440" s="38"/>
      <c r="P440" s="30"/>
      <c r="Q440" s="35"/>
      <c r="R440" s="31"/>
      <c r="S440" s="31"/>
      <c r="T440" s="31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31"/>
      <c r="AH440" s="31"/>
      <c r="AI440" s="31"/>
      <c r="AJ440" s="31"/>
    </row>
    <row r="441" customFormat="false" ht="14.25" hidden="false" customHeight="true" outlineLevel="0" collapsed="false">
      <c r="A441" s="116"/>
      <c r="B441" s="19"/>
      <c r="C441" s="19"/>
      <c r="D441" s="36"/>
      <c r="E441" s="19"/>
      <c r="F441" s="37"/>
      <c r="G441" s="38"/>
      <c r="H441" s="38"/>
      <c r="I441" s="38"/>
      <c r="J441" s="38"/>
      <c r="K441" s="38"/>
      <c r="L441" s="38"/>
      <c r="M441" s="38"/>
      <c r="N441" s="39"/>
      <c r="O441" s="38"/>
      <c r="P441" s="30"/>
      <c r="Q441" s="35"/>
      <c r="R441" s="31"/>
      <c r="S441" s="31"/>
      <c r="T441" s="31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31"/>
      <c r="AH441" s="31"/>
      <c r="AI441" s="31"/>
      <c r="AJ441" s="31"/>
    </row>
    <row r="442" customFormat="false" ht="14.25" hidden="false" customHeight="true" outlineLevel="0" collapsed="false">
      <c r="A442" s="116"/>
      <c r="B442" s="19"/>
      <c r="C442" s="19"/>
      <c r="D442" s="36"/>
      <c r="E442" s="19"/>
      <c r="F442" s="37"/>
      <c r="G442" s="38"/>
      <c r="H442" s="38"/>
      <c r="I442" s="38"/>
      <c r="J442" s="38"/>
      <c r="K442" s="38"/>
      <c r="L442" s="38"/>
      <c r="M442" s="38"/>
      <c r="N442" s="39"/>
      <c r="O442" s="38"/>
      <c r="P442" s="30"/>
      <c r="Q442" s="35"/>
      <c r="R442" s="31"/>
      <c r="S442" s="31"/>
      <c r="T442" s="31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31"/>
      <c r="AH442" s="31"/>
      <c r="AI442" s="31"/>
      <c r="AJ442" s="31"/>
    </row>
    <row r="443" customFormat="false" ht="14.25" hidden="false" customHeight="true" outlineLevel="0" collapsed="false">
      <c r="A443" s="116"/>
      <c r="B443" s="19"/>
      <c r="C443" s="19"/>
      <c r="D443" s="36"/>
      <c r="E443" s="19"/>
      <c r="F443" s="37"/>
      <c r="G443" s="38"/>
      <c r="H443" s="38"/>
      <c r="I443" s="38"/>
      <c r="J443" s="38"/>
      <c r="K443" s="38"/>
      <c r="L443" s="38"/>
      <c r="M443" s="38"/>
      <c r="N443" s="39"/>
      <c r="O443" s="38"/>
      <c r="P443" s="30"/>
      <c r="Q443" s="35"/>
      <c r="R443" s="31"/>
      <c r="S443" s="31"/>
      <c r="T443" s="31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31"/>
      <c r="AH443" s="31"/>
      <c r="AI443" s="31"/>
      <c r="AJ443" s="31"/>
    </row>
    <row r="444" customFormat="false" ht="14.25" hidden="false" customHeight="true" outlineLevel="0" collapsed="false">
      <c r="A444" s="116"/>
      <c r="B444" s="19"/>
      <c r="C444" s="19"/>
      <c r="D444" s="36"/>
      <c r="E444" s="19"/>
      <c r="F444" s="37"/>
      <c r="G444" s="38"/>
      <c r="H444" s="38"/>
      <c r="I444" s="38"/>
      <c r="J444" s="38"/>
      <c r="K444" s="38"/>
      <c r="L444" s="38"/>
      <c r="M444" s="38"/>
      <c r="N444" s="39"/>
      <c r="O444" s="38"/>
      <c r="P444" s="30"/>
      <c r="Q444" s="35"/>
      <c r="R444" s="31"/>
      <c r="S444" s="31"/>
      <c r="T444" s="31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31"/>
      <c r="AH444" s="31"/>
      <c r="AI444" s="31"/>
      <c r="AJ444" s="31"/>
    </row>
    <row r="445" customFormat="false" ht="14.25" hidden="false" customHeight="true" outlineLevel="0" collapsed="false">
      <c r="A445" s="116"/>
      <c r="B445" s="19"/>
      <c r="C445" s="19"/>
      <c r="D445" s="36"/>
      <c r="E445" s="19"/>
      <c r="F445" s="37"/>
      <c r="G445" s="38"/>
      <c r="H445" s="38"/>
      <c r="I445" s="38"/>
      <c r="J445" s="38"/>
      <c r="K445" s="38"/>
      <c r="L445" s="38"/>
      <c r="M445" s="38"/>
      <c r="N445" s="39"/>
      <c r="O445" s="38"/>
      <c r="P445" s="30"/>
      <c r="Q445" s="35"/>
      <c r="R445" s="31"/>
      <c r="S445" s="31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31"/>
      <c r="AH445" s="31"/>
      <c r="AI445" s="31"/>
      <c r="AJ445" s="31"/>
    </row>
    <row r="446" customFormat="false" ht="14.25" hidden="false" customHeight="true" outlineLevel="0" collapsed="false">
      <c r="A446" s="116"/>
      <c r="B446" s="19"/>
      <c r="C446" s="19"/>
      <c r="D446" s="36"/>
      <c r="E446" s="19"/>
      <c r="F446" s="37"/>
      <c r="G446" s="38"/>
      <c r="H446" s="38"/>
      <c r="I446" s="38"/>
      <c r="J446" s="38"/>
      <c r="K446" s="38"/>
      <c r="L446" s="38"/>
      <c r="M446" s="38"/>
      <c r="N446" s="39"/>
      <c r="O446" s="38"/>
      <c r="P446" s="30"/>
      <c r="Q446" s="35"/>
      <c r="R446" s="31"/>
      <c r="S446" s="31"/>
      <c r="T446" s="31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31"/>
      <c r="AH446" s="31"/>
      <c r="AI446" s="31"/>
      <c r="AJ446" s="31"/>
    </row>
    <row r="447" customFormat="false" ht="14.25" hidden="false" customHeight="true" outlineLevel="0" collapsed="false">
      <c r="A447" s="116"/>
      <c r="B447" s="19"/>
      <c r="C447" s="19"/>
      <c r="D447" s="36"/>
      <c r="E447" s="19"/>
      <c r="F447" s="37"/>
      <c r="G447" s="38"/>
      <c r="H447" s="38"/>
      <c r="I447" s="38"/>
      <c r="J447" s="38"/>
      <c r="K447" s="38"/>
      <c r="L447" s="38"/>
      <c r="M447" s="38"/>
      <c r="N447" s="39"/>
      <c r="O447" s="38"/>
      <c r="P447" s="30"/>
      <c r="Q447" s="35"/>
      <c r="R447" s="31"/>
      <c r="S447" s="31"/>
      <c r="T447" s="31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31"/>
      <c r="AH447" s="31"/>
      <c r="AI447" s="31"/>
      <c r="AJ447" s="31"/>
    </row>
    <row r="448" customFormat="false" ht="14.25" hidden="false" customHeight="true" outlineLevel="0" collapsed="false">
      <c r="A448" s="116"/>
      <c r="B448" s="19"/>
      <c r="C448" s="19"/>
      <c r="D448" s="36"/>
      <c r="E448" s="19"/>
      <c r="F448" s="37"/>
      <c r="G448" s="38"/>
      <c r="H448" s="38"/>
      <c r="I448" s="38"/>
      <c r="J448" s="38"/>
      <c r="K448" s="38"/>
      <c r="L448" s="38"/>
      <c r="M448" s="38"/>
      <c r="N448" s="39"/>
      <c r="O448" s="38"/>
      <c r="P448" s="30"/>
      <c r="Q448" s="35"/>
      <c r="R448" s="31"/>
      <c r="S448" s="31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31"/>
      <c r="AH448" s="31"/>
      <c r="AI448" s="31"/>
      <c r="AJ448" s="31"/>
    </row>
    <row r="449" customFormat="false" ht="14.25" hidden="false" customHeight="true" outlineLevel="0" collapsed="false">
      <c r="A449" s="116"/>
      <c r="B449" s="19"/>
      <c r="C449" s="19"/>
      <c r="D449" s="36"/>
      <c r="E449" s="19"/>
      <c r="F449" s="37"/>
      <c r="G449" s="38"/>
      <c r="H449" s="38"/>
      <c r="I449" s="38"/>
      <c r="J449" s="38"/>
      <c r="K449" s="38"/>
      <c r="L449" s="38"/>
      <c r="M449" s="38"/>
      <c r="N449" s="39"/>
      <c r="O449" s="38"/>
      <c r="P449" s="30"/>
      <c r="Q449" s="35"/>
      <c r="R449" s="31"/>
      <c r="S449" s="31"/>
      <c r="T449" s="31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31"/>
      <c r="AH449" s="31"/>
      <c r="AI449" s="31"/>
      <c r="AJ449" s="31"/>
    </row>
    <row r="450" customFormat="false" ht="14.25" hidden="false" customHeight="true" outlineLevel="0" collapsed="false">
      <c r="A450" s="116"/>
      <c r="B450" s="19"/>
      <c r="C450" s="19"/>
      <c r="D450" s="36"/>
      <c r="E450" s="19"/>
      <c r="F450" s="37"/>
      <c r="G450" s="38"/>
      <c r="H450" s="38"/>
      <c r="I450" s="38"/>
      <c r="J450" s="38"/>
      <c r="K450" s="38"/>
      <c r="L450" s="38"/>
      <c r="M450" s="38"/>
      <c r="N450" s="39"/>
      <c r="O450" s="38"/>
      <c r="P450" s="30"/>
      <c r="Q450" s="35"/>
      <c r="R450" s="31"/>
      <c r="S450" s="31"/>
      <c r="T450" s="31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31"/>
      <c r="AH450" s="31"/>
      <c r="AI450" s="31"/>
      <c r="AJ450" s="31"/>
    </row>
    <row r="451" customFormat="false" ht="14.25" hidden="false" customHeight="true" outlineLevel="0" collapsed="false">
      <c r="A451" s="116"/>
      <c r="B451" s="19"/>
      <c r="C451" s="19"/>
      <c r="D451" s="36"/>
      <c r="E451" s="19"/>
      <c r="F451" s="37"/>
      <c r="G451" s="38"/>
      <c r="H451" s="38"/>
      <c r="I451" s="38"/>
      <c r="J451" s="38"/>
      <c r="K451" s="38"/>
      <c r="L451" s="38"/>
      <c r="M451" s="38"/>
      <c r="N451" s="39"/>
      <c r="O451" s="38"/>
      <c r="P451" s="30"/>
      <c r="Q451" s="35"/>
      <c r="R451" s="31"/>
      <c r="S451" s="31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31"/>
      <c r="AH451" s="31"/>
      <c r="AI451" s="31"/>
      <c r="AJ451" s="31"/>
    </row>
    <row r="452" customFormat="false" ht="14.25" hidden="false" customHeight="true" outlineLevel="0" collapsed="false">
      <c r="A452" s="116"/>
      <c r="B452" s="19"/>
      <c r="C452" s="19"/>
      <c r="D452" s="36"/>
      <c r="E452" s="19"/>
      <c r="F452" s="37"/>
      <c r="G452" s="38"/>
      <c r="H452" s="38"/>
      <c r="I452" s="38"/>
      <c r="J452" s="38"/>
      <c r="K452" s="38"/>
      <c r="L452" s="38"/>
      <c r="M452" s="38"/>
      <c r="N452" s="39"/>
      <c r="O452" s="38"/>
      <c r="P452" s="30"/>
      <c r="Q452" s="35"/>
      <c r="R452" s="31"/>
      <c r="S452" s="31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31"/>
      <c r="AH452" s="31"/>
      <c r="AI452" s="31"/>
      <c r="AJ452" s="31"/>
    </row>
    <row r="453" customFormat="false" ht="14.25" hidden="false" customHeight="true" outlineLevel="0" collapsed="false">
      <c r="A453" s="116"/>
      <c r="B453" s="19"/>
      <c r="C453" s="19"/>
      <c r="D453" s="36"/>
      <c r="E453" s="19"/>
      <c r="F453" s="37"/>
      <c r="G453" s="38"/>
      <c r="H453" s="38"/>
      <c r="I453" s="38"/>
      <c r="J453" s="38"/>
      <c r="K453" s="38"/>
      <c r="L453" s="38"/>
      <c r="M453" s="38"/>
      <c r="N453" s="39"/>
      <c r="O453" s="38"/>
      <c r="P453" s="30"/>
      <c r="Q453" s="35"/>
      <c r="R453" s="31"/>
      <c r="S453" s="31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31"/>
      <c r="AH453" s="31"/>
      <c r="AI453" s="31"/>
      <c r="AJ453" s="31"/>
    </row>
    <row r="454" customFormat="false" ht="14.25" hidden="false" customHeight="true" outlineLevel="0" collapsed="false">
      <c r="A454" s="116"/>
      <c r="B454" s="19"/>
      <c r="C454" s="19"/>
      <c r="D454" s="36"/>
      <c r="E454" s="19"/>
      <c r="F454" s="37"/>
      <c r="G454" s="38"/>
      <c r="H454" s="38"/>
      <c r="I454" s="38"/>
      <c r="J454" s="38"/>
      <c r="K454" s="38"/>
      <c r="L454" s="38"/>
      <c r="M454" s="38"/>
      <c r="N454" s="39"/>
      <c r="O454" s="38"/>
      <c r="P454" s="30"/>
      <c r="Q454" s="35"/>
      <c r="R454" s="31"/>
      <c r="S454" s="31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31"/>
      <c r="AH454" s="31"/>
      <c r="AI454" s="31"/>
      <c r="AJ454" s="31"/>
    </row>
    <row r="455" customFormat="false" ht="14.25" hidden="false" customHeight="true" outlineLevel="0" collapsed="false">
      <c r="A455" s="116"/>
      <c r="B455" s="19"/>
      <c r="C455" s="19"/>
      <c r="D455" s="36"/>
      <c r="E455" s="19"/>
      <c r="F455" s="37"/>
      <c r="G455" s="38"/>
      <c r="H455" s="38"/>
      <c r="I455" s="38"/>
      <c r="J455" s="38"/>
      <c r="K455" s="38"/>
      <c r="L455" s="38"/>
      <c r="M455" s="38"/>
      <c r="N455" s="39"/>
      <c r="O455" s="38"/>
      <c r="P455" s="30"/>
      <c r="Q455" s="35"/>
      <c r="R455" s="31"/>
      <c r="S455" s="31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31"/>
      <c r="AH455" s="31"/>
      <c r="AI455" s="31"/>
      <c r="AJ455" s="31"/>
    </row>
    <row r="456" customFormat="false" ht="14.25" hidden="false" customHeight="true" outlineLevel="0" collapsed="false">
      <c r="A456" s="116"/>
      <c r="B456" s="19"/>
      <c r="C456" s="19"/>
      <c r="D456" s="36"/>
      <c r="E456" s="19"/>
      <c r="F456" s="37"/>
      <c r="G456" s="38"/>
      <c r="H456" s="38"/>
      <c r="I456" s="38"/>
      <c r="J456" s="38"/>
      <c r="K456" s="38"/>
      <c r="L456" s="38"/>
      <c r="M456" s="38"/>
      <c r="N456" s="39"/>
      <c r="O456" s="38"/>
      <c r="P456" s="30"/>
      <c r="Q456" s="35"/>
      <c r="R456" s="31"/>
      <c r="S456" s="31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31"/>
      <c r="AH456" s="31"/>
      <c r="AI456" s="31"/>
      <c r="AJ456" s="31"/>
    </row>
    <row r="457" customFormat="false" ht="14.25" hidden="false" customHeight="true" outlineLevel="0" collapsed="false">
      <c r="A457" s="116"/>
      <c r="B457" s="19"/>
      <c r="C457" s="19"/>
      <c r="D457" s="36"/>
      <c r="E457" s="19"/>
      <c r="F457" s="37"/>
      <c r="G457" s="38"/>
      <c r="H457" s="38"/>
      <c r="I457" s="38"/>
      <c r="J457" s="38"/>
      <c r="K457" s="38"/>
      <c r="L457" s="38"/>
      <c r="M457" s="38"/>
      <c r="N457" s="39"/>
      <c r="O457" s="38"/>
      <c r="P457" s="30"/>
      <c r="Q457" s="35"/>
      <c r="R457" s="31"/>
      <c r="S457" s="31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31"/>
      <c r="AH457" s="31"/>
      <c r="AI457" s="31"/>
      <c r="AJ457" s="31"/>
    </row>
    <row r="458" customFormat="false" ht="14.25" hidden="false" customHeight="true" outlineLevel="0" collapsed="false">
      <c r="A458" s="116"/>
      <c r="B458" s="19"/>
      <c r="C458" s="19"/>
      <c r="D458" s="36"/>
      <c r="E458" s="19"/>
      <c r="F458" s="37"/>
      <c r="G458" s="38"/>
      <c r="H458" s="38"/>
      <c r="I458" s="38"/>
      <c r="J458" s="38"/>
      <c r="K458" s="38"/>
      <c r="L458" s="38"/>
      <c r="M458" s="38"/>
      <c r="N458" s="39"/>
      <c r="O458" s="38"/>
      <c r="P458" s="30"/>
      <c r="Q458" s="35"/>
      <c r="R458" s="31"/>
      <c r="S458" s="31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31"/>
      <c r="AH458" s="31"/>
      <c r="AI458" s="31"/>
      <c r="AJ458" s="31"/>
    </row>
    <row r="459" customFormat="false" ht="14.25" hidden="false" customHeight="true" outlineLevel="0" collapsed="false">
      <c r="A459" s="116"/>
      <c r="B459" s="19"/>
      <c r="C459" s="19"/>
      <c r="D459" s="36"/>
      <c r="E459" s="19"/>
      <c r="F459" s="37"/>
      <c r="G459" s="38"/>
      <c r="H459" s="38"/>
      <c r="I459" s="38"/>
      <c r="J459" s="38"/>
      <c r="K459" s="38"/>
      <c r="L459" s="38"/>
      <c r="M459" s="38"/>
      <c r="N459" s="39"/>
      <c r="O459" s="38"/>
      <c r="P459" s="30"/>
      <c r="Q459" s="35"/>
      <c r="R459" s="31"/>
      <c r="S459" s="31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31"/>
      <c r="AH459" s="31"/>
      <c r="AI459" s="31"/>
      <c r="AJ459" s="31"/>
    </row>
    <row r="460" customFormat="false" ht="14.25" hidden="false" customHeight="true" outlineLevel="0" collapsed="false">
      <c r="A460" s="116"/>
      <c r="B460" s="19"/>
      <c r="C460" s="19"/>
      <c r="D460" s="36"/>
      <c r="E460" s="19"/>
      <c r="F460" s="37"/>
      <c r="G460" s="38"/>
      <c r="H460" s="38"/>
      <c r="I460" s="38"/>
      <c r="J460" s="38"/>
      <c r="K460" s="38"/>
      <c r="L460" s="38"/>
      <c r="M460" s="38"/>
      <c r="N460" s="39"/>
      <c r="O460" s="38"/>
      <c r="P460" s="30"/>
      <c r="Q460" s="35"/>
      <c r="R460" s="31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31"/>
      <c r="AH460" s="31"/>
      <c r="AI460" s="31"/>
      <c r="AJ460" s="31"/>
    </row>
    <row r="461" customFormat="false" ht="14.25" hidden="false" customHeight="true" outlineLevel="0" collapsed="false">
      <c r="A461" s="116"/>
      <c r="B461" s="19"/>
      <c r="C461" s="19"/>
      <c r="D461" s="36"/>
      <c r="E461" s="19"/>
      <c r="F461" s="37"/>
      <c r="G461" s="38"/>
      <c r="H461" s="38"/>
      <c r="I461" s="38"/>
      <c r="J461" s="38"/>
      <c r="K461" s="38"/>
      <c r="L461" s="38"/>
      <c r="M461" s="38"/>
      <c r="N461" s="39"/>
      <c r="O461" s="38"/>
      <c r="P461" s="30"/>
      <c r="Q461" s="35"/>
      <c r="R461" s="31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31"/>
      <c r="AH461" s="31"/>
      <c r="AI461" s="31"/>
      <c r="AJ461" s="31"/>
    </row>
    <row r="462" customFormat="false" ht="14.25" hidden="false" customHeight="true" outlineLevel="0" collapsed="false">
      <c r="A462" s="116"/>
      <c r="B462" s="19"/>
      <c r="C462" s="19"/>
      <c r="D462" s="36"/>
      <c r="E462" s="19"/>
      <c r="F462" s="37"/>
      <c r="G462" s="38"/>
      <c r="H462" s="38"/>
      <c r="I462" s="38"/>
      <c r="J462" s="38"/>
      <c r="K462" s="38"/>
      <c r="L462" s="38"/>
      <c r="M462" s="38"/>
      <c r="N462" s="39"/>
      <c r="O462" s="38"/>
      <c r="P462" s="30"/>
      <c r="Q462" s="35"/>
      <c r="R462" s="31"/>
      <c r="S462" s="31"/>
      <c r="T462" s="31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31"/>
      <c r="AH462" s="31"/>
      <c r="AI462" s="31"/>
      <c r="AJ462" s="31"/>
    </row>
    <row r="463" customFormat="false" ht="14.25" hidden="false" customHeight="true" outlineLevel="0" collapsed="false">
      <c r="A463" s="116"/>
      <c r="B463" s="19"/>
      <c r="C463" s="19"/>
      <c r="D463" s="36"/>
      <c r="E463" s="19"/>
      <c r="F463" s="37"/>
      <c r="G463" s="38"/>
      <c r="H463" s="38"/>
      <c r="I463" s="38"/>
      <c r="J463" s="38"/>
      <c r="K463" s="38"/>
      <c r="L463" s="38"/>
      <c r="M463" s="38"/>
      <c r="N463" s="39"/>
      <c r="O463" s="38"/>
      <c r="P463" s="30"/>
      <c r="Q463" s="35"/>
      <c r="R463" s="31"/>
      <c r="S463" s="31"/>
      <c r="T463" s="31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31"/>
      <c r="AH463" s="31"/>
      <c r="AI463" s="31"/>
      <c r="AJ463" s="31"/>
    </row>
    <row r="464" customFormat="false" ht="14.25" hidden="false" customHeight="true" outlineLevel="0" collapsed="false">
      <c r="A464" s="116"/>
      <c r="B464" s="19"/>
      <c r="C464" s="19"/>
      <c r="D464" s="36"/>
      <c r="E464" s="19"/>
      <c r="F464" s="37"/>
      <c r="G464" s="38"/>
      <c r="H464" s="38"/>
      <c r="I464" s="38"/>
      <c r="J464" s="38"/>
      <c r="K464" s="38"/>
      <c r="L464" s="38"/>
      <c r="M464" s="38"/>
      <c r="N464" s="39"/>
      <c r="O464" s="38"/>
      <c r="P464" s="30"/>
      <c r="Q464" s="35"/>
      <c r="R464" s="31"/>
      <c r="S464" s="31"/>
      <c r="T464" s="31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31"/>
      <c r="AH464" s="31"/>
      <c r="AI464" s="31"/>
      <c r="AJ464" s="31"/>
    </row>
    <row r="465" customFormat="false" ht="14.25" hidden="false" customHeight="true" outlineLevel="0" collapsed="false">
      <c r="A465" s="116"/>
      <c r="B465" s="19"/>
      <c r="C465" s="19"/>
      <c r="D465" s="36"/>
      <c r="E465" s="19"/>
      <c r="F465" s="37"/>
      <c r="G465" s="38"/>
      <c r="H465" s="38"/>
      <c r="I465" s="38"/>
      <c r="J465" s="38"/>
      <c r="K465" s="38"/>
      <c r="L465" s="38"/>
      <c r="M465" s="38"/>
      <c r="N465" s="39"/>
      <c r="O465" s="38"/>
      <c r="P465" s="30"/>
      <c r="Q465" s="35"/>
      <c r="R465" s="31"/>
      <c r="S465" s="31"/>
      <c r="T465" s="31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31"/>
      <c r="AH465" s="31"/>
      <c r="AI465" s="31"/>
      <c r="AJ465" s="31"/>
    </row>
    <row r="466" customFormat="false" ht="14.25" hidden="false" customHeight="true" outlineLevel="0" collapsed="false">
      <c r="A466" s="116"/>
      <c r="B466" s="19"/>
      <c r="C466" s="19"/>
      <c r="D466" s="36"/>
      <c r="E466" s="19"/>
      <c r="F466" s="37"/>
      <c r="G466" s="38"/>
      <c r="H466" s="38"/>
      <c r="I466" s="38"/>
      <c r="J466" s="38"/>
      <c r="K466" s="38"/>
      <c r="L466" s="38"/>
      <c r="M466" s="38"/>
      <c r="N466" s="39"/>
      <c r="O466" s="38"/>
      <c r="P466" s="30"/>
      <c r="Q466" s="35"/>
      <c r="R466" s="31"/>
      <c r="S466" s="31"/>
      <c r="T466" s="31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31"/>
      <c r="AH466" s="31"/>
      <c r="AI466" s="31"/>
      <c r="AJ466" s="31"/>
    </row>
    <row r="467" customFormat="false" ht="14.25" hidden="false" customHeight="true" outlineLevel="0" collapsed="false">
      <c r="A467" s="116"/>
      <c r="B467" s="19"/>
      <c r="C467" s="19"/>
      <c r="D467" s="36"/>
      <c r="E467" s="19"/>
      <c r="F467" s="37"/>
      <c r="G467" s="38"/>
      <c r="H467" s="38"/>
      <c r="I467" s="38"/>
      <c r="J467" s="38"/>
      <c r="K467" s="38"/>
      <c r="L467" s="38"/>
      <c r="M467" s="38"/>
      <c r="N467" s="39"/>
      <c r="O467" s="38"/>
      <c r="P467" s="30"/>
      <c r="Q467" s="35"/>
      <c r="R467" s="31"/>
      <c r="S467" s="31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31"/>
      <c r="AH467" s="31"/>
      <c r="AI467" s="31"/>
      <c r="AJ467" s="31"/>
    </row>
    <row r="468" customFormat="false" ht="14.25" hidden="false" customHeight="true" outlineLevel="0" collapsed="false">
      <c r="A468" s="116"/>
      <c r="B468" s="19"/>
      <c r="C468" s="19"/>
      <c r="D468" s="36"/>
      <c r="E468" s="19"/>
      <c r="F468" s="37"/>
      <c r="G468" s="38"/>
      <c r="H468" s="38"/>
      <c r="I468" s="38"/>
      <c r="J468" s="38"/>
      <c r="K468" s="38"/>
      <c r="L468" s="38"/>
      <c r="M468" s="38"/>
      <c r="N468" s="39"/>
      <c r="O468" s="38"/>
      <c r="P468" s="30"/>
      <c r="Q468" s="35"/>
      <c r="R468" s="31"/>
      <c r="S468" s="31"/>
      <c r="T468" s="31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31"/>
      <c r="AH468" s="31"/>
      <c r="AI468" s="31"/>
      <c r="AJ468" s="31"/>
    </row>
    <row r="469" customFormat="false" ht="14.25" hidden="false" customHeight="true" outlineLevel="0" collapsed="false">
      <c r="A469" s="116"/>
      <c r="B469" s="19"/>
      <c r="C469" s="19"/>
      <c r="D469" s="36"/>
      <c r="E469" s="19"/>
      <c r="F469" s="37"/>
      <c r="G469" s="38"/>
      <c r="H469" s="38"/>
      <c r="I469" s="38"/>
      <c r="J469" s="38"/>
      <c r="K469" s="38"/>
      <c r="L469" s="38"/>
      <c r="M469" s="38"/>
      <c r="N469" s="39"/>
      <c r="O469" s="38"/>
      <c r="P469" s="30"/>
      <c r="Q469" s="35"/>
      <c r="R469" s="31"/>
      <c r="S469" s="31"/>
      <c r="T469" s="31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31"/>
      <c r="AH469" s="31"/>
      <c r="AI469" s="31"/>
      <c r="AJ469" s="31"/>
    </row>
    <row r="470" customFormat="false" ht="14.25" hidden="false" customHeight="true" outlineLevel="0" collapsed="false">
      <c r="A470" s="116"/>
      <c r="B470" s="19"/>
      <c r="C470" s="19"/>
      <c r="D470" s="36"/>
      <c r="E470" s="19"/>
      <c r="F470" s="37"/>
      <c r="G470" s="38"/>
      <c r="H470" s="38"/>
      <c r="I470" s="38"/>
      <c r="J470" s="38"/>
      <c r="K470" s="38"/>
      <c r="L470" s="38"/>
      <c r="M470" s="38"/>
      <c r="N470" s="39"/>
      <c r="O470" s="38"/>
      <c r="P470" s="30"/>
      <c r="Q470" s="35"/>
      <c r="R470" s="31"/>
      <c r="S470" s="31"/>
      <c r="T470" s="31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31"/>
      <c r="AH470" s="31"/>
      <c r="AI470" s="31"/>
      <c r="AJ470" s="31"/>
    </row>
    <row r="471" customFormat="false" ht="14.25" hidden="false" customHeight="true" outlineLevel="0" collapsed="false">
      <c r="A471" s="116"/>
      <c r="B471" s="19"/>
      <c r="C471" s="19"/>
      <c r="D471" s="36"/>
      <c r="E471" s="19"/>
      <c r="F471" s="37"/>
      <c r="G471" s="38"/>
      <c r="H471" s="38"/>
      <c r="I471" s="38"/>
      <c r="J471" s="38"/>
      <c r="K471" s="38"/>
      <c r="L471" s="38"/>
      <c r="M471" s="38"/>
      <c r="N471" s="39"/>
      <c r="O471" s="38"/>
      <c r="P471" s="30"/>
      <c r="Q471" s="35"/>
      <c r="R471" s="31"/>
      <c r="S471" s="31"/>
      <c r="T471" s="31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31"/>
      <c r="AH471" s="31"/>
      <c r="AI471" s="31"/>
      <c r="AJ471" s="31"/>
    </row>
    <row r="472" customFormat="false" ht="14.25" hidden="false" customHeight="true" outlineLevel="0" collapsed="false">
      <c r="A472" s="116"/>
      <c r="B472" s="19"/>
      <c r="C472" s="19"/>
      <c r="D472" s="36"/>
      <c r="E472" s="19"/>
      <c r="F472" s="37"/>
      <c r="G472" s="38"/>
      <c r="H472" s="38"/>
      <c r="I472" s="38"/>
      <c r="J472" s="38"/>
      <c r="K472" s="38"/>
      <c r="L472" s="38"/>
      <c r="M472" s="38"/>
      <c r="N472" s="39"/>
      <c r="O472" s="38"/>
      <c r="P472" s="30"/>
      <c r="Q472" s="35"/>
      <c r="R472" s="31"/>
      <c r="S472" s="31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31"/>
      <c r="AH472" s="31"/>
      <c r="AI472" s="31"/>
      <c r="AJ472" s="31"/>
    </row>
    <row r="473" customFormat="false" ht="14.25" hidden="false" customHeight="true" outlineLevel="0" collapsed="false">
      <c r="A473" s="116"/>
      <c r="B473" s="19"/>
      <c r="C473" s="19"/>
      <c r="D473" s="36"/>
      <c r="E473" s="19"/>
      <c r="F473" s="37"/>
      <c r="G473" s="38"/>
      <c r="H473" s="38"/>
      <c r="I473" s="38"/>
      <c r="J473" s="38"/>
      <c r="K473" s="38"/>
      <c r="L473" s="38"/>
      <c r="M473" s="38"/>
      <c r="N473" s="39"/>
      <c r="O473" s="38"/>
      <c r="P473" s="30"/>
      <c r="Q473" s="35"/>
      <c r="R473" s="31"/>
      <c r="S473" s="31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31"/>
      <c r="AH473" s="31"/>
      <c r="AI473" s="31"/>
      <c r="AJ473" s="31"/>
    </row>
    <row r="474" customFormat="false" ht="14.25" hidden="false" customHeight="true" outlineLevel="0" collapsed="false">
      <c r="A474" s="116"/>
      <c r="B474" s="19"/>
      <c r="C474" s="19"/>
      <c r="D474" s="36"/>
      <c r="E474" s="19"/>
      <c r="F474" s="37"/>
      <c r="G474" s="38"/>
      <c r="H474" s="38"/>
      <c r="I474" s="38"/>
      <c r="J474" s="38"/>
      <c r="K474" s="38"/>
      <c r="L474" s="38"/>
      <c r="M474" s="38"/>
      <c r="N474" s="39"/>
      <c r="O474" s="38"/>
      <c r="P474" s="30"/>
      <c r="Q474" s="35"/>
      <c r="R474" s="31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31"/>
      <c r="AH474" s="31"/>
      <c r="AI474" s="31"/>
      <c r="AJ474" s="31"/>
    </row>
    <row r="475" customFormat="false" ht="14.25" hidden="false" customHeight="true" outlineLevel="0" collapsed="false">
      <c r="A475" s="116"/>
      <c r="B475" s="19"/>
      <c r="C475" s="19"/>
      <c r="D475" s="36"/>
      <c r="E475" s="19"/>
      <c r="F475" s="37"/>
      <c r="G475" s="38"/>
      <c r="H475" s="38"/>
      <c r="I475" s="38"/>
      <c r="J475" s="38"/>
      <c r="K475" s="38"/>
      <c r="L475" s="38"/>
      <c r="M475" s="38"/>
      <c r="N475" s="39"/>
      <c r="O475" s="38"/>
      <c r="P475" s="30"/>
      <c r="Q475" s="35"/>
      <c r="R475" s="31"/>
      <c r="S475" s="31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31"/>
      <c r="AH475" s="31"/>
      <c r="AI475" s="31"/>
      <c r="AJ475" s="31"/>
    </row>
    <row r="476" customFormat="false" ht="14.25" hidden="false" customHeight="true" outlineLevel="0" collapsed="false">
      <c r="A476" s="116"/>
      <c r="B476" s="19"/>
      <c r="C476" s="19"/>
      <c r="D476" s="36"/>
      <c r="E476" s="19"/>
      <c r="F476" s="37"/>
      <c r="G476" s="38"/>
      <c r="H476" s="38"/>
      <c r="I476" s="38"/>
      <c r="J476" s="38"/>
      <c r="K476" s="38"/>
      <c r="L476" s="38"/>
      <c r="M476" s="38"/>
      <c r="N476" s="39"/>
      <c r="O476" s="38"/>
      <c r="P476" s="30"/>
      <c r="Q476" s="35"/>
      <c r="R476" s="31"/>
      <c r="S476" s="31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31"/>
      <c r="AH476" s="31"/>
      <c r="AI476" s="31"/>
      <c r="AJ476" s="31"/>
    </row>
    <row r="477" customFormat="false" ht="14.25" hidden="false" customHeight="true" outlineLevel="0" collapsed="false">
      <c r="A477" s="116"/>
      <c r="B477" s="19"/>
      <c r="C477" s="19"/>
      <c r="D477" s="36"/>
      <c r="E477" s="19"/>
      <c r="F477" s="37"/>
      <c r="G477" s="38"/>
      <c r="H477" s="38"/>
      <c r="I477" s="38"/>
      <c r="J477" s="38"/>
      <c r="K477" s="38"/>
      <c r="L477" s="38"/>
      <c r="M477" s="38"/>
      <c r="N477" s="39"/>
      <c r="O477" s="38"/>
      <c r="P477" s="30"/>
      <c r="Q477" s="35"/>
      <c r="R477" s="31"/>
      <c r="S477" s="31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31"/>
      <c r="AH477" s="31"/>
      <c r="AI477" s="31"/>
      <c r="AJ477" s="31"/>
    </row>
    <row r="478" customFormat="false" ht="14.25" hidden="false" customHeight="true" outlineLevel="0" collapsed="false">
      <c r="A478" s="116"/>
      <c r="B478" s="19"/>
      <c r="C478" s="19"/>
      <c r="D478" s="36"/>
      <c r="E478" s="19"/>
      <c r="F478" s="37"/>
      <c r="G478" s="38"/>
      <c r="H478" s="38"/>
      <c r="I478" s="38"/>
      <c r="J478" s="38"/>
      <c r="K478" s="38"/>
      <c r="L478" s="38"/>
      <c r="M478" s="38"/>
      <c r="N478" s="39"/>
      <c r="O478" s="38"/>
      <c r="P478" s="30"/>
      <c r="Q478" s="35"/>
      <c r="R478" s="31"/>
      <c r="S478" s="31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31"/>
      <c r="AH478" s="31"/>
      <c r="AI478" s="31"/>
      <c r="AJ478" s="31"/>
    </row>
    <row r="479" customFormat="false" ht="14.25" hidden="false" customHeight="true" outlineLevel="0" collapsed="false">
      <c r="A479" s="116"/>
      <c r="B479" s="19"/>
      <c r="C479" s="19"/>
      <c r="D479" s="36"/>
      <c r="E479" s="19"/>
      <c r="F479" s="37"/>
      <c r="G479" s="38"/>
      <c r="H479" s="38"/>
      <c r="I479" s="38"/>
      <c r="J479" s="38"/>
      <c r="K479" s="38"/>
      <c r="L479" s="38"/>
      <c r="M479" s="38"/>
      <c r="N479" s="39"/>
      <c r="O479" s="38"/>
      <c r="P479" s="30"/>
      <c r="Q479" s="35"/>
      <c r="R479" s="31"/>
      <c r="S479" s="31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31"/>
      <c r="AH479" s="31"/>
      <c r="AI479" s="31"/>
      <c r="AJ479" s="31"/>
    </row>
    <row r="480" customFormat="false" ht="14.25" hidden="false" customHeight="true" outlineLevel="0" collapsed="false">
      <c r="A480" s="116"/>
      <c r="B480" s="19"/>
      <c r="C480" s="19"/>
      <c r="D480" s="36"/>
      <c r="E480" s="19"/>
      <c r="F480" s="37"/>
      <c r="G480" s="38"/>
      <c r="H480" s="38"/>
      <c r="I480" s="38"/>
      <c r="J480" s="38"/>
      <c r="K480" s="38"/>
      <c r="L480" s="38"/>
      <c r="M480" s="38"/>
      <c r="N480" s="39"/>
      <c r="O480" s="38"/>
      <c r="P480" s="30"/>
      <c r="Q480" s="35"/>
      <c r="R480" s="31"/>
      <c r="S480" s="31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31"/>
      <c r="AH480" s="31"/>
      <c r="AI480" s="31"/>
      <c r="AJ480" s="31"/>
    </row>
    <row r="481" customFormat="false" ht="14.25" hidden="false" customHeight="true" outlineLevel="0" collapsed="false">
      <c r="A481" s="116"/>
      <c r="B481" s="19"/>
      <c r="C481" s="19"/>
      <c r="D481" s="36"/>
      <c r="E481" s="19"/>
      <c r="F481" s="37"/>
      <c r="G481" s="38"/>
      <c r="H481" s="38"/>
      <c r="I481" s="38"/>
      <c r="J481" s="38"/>
      <c r="K481" s="38"/>
      <c r="L481" s="38"/>
      <c r="M481" s="38"/>
      <c r="N481" s="39"/>
      <c r="O481" s="38"/>
      <c r="P481" s="30"/>
      <c r="Q481" s="35"/>
      <c r="R481" s="31"/>
      <c r="S481" s="31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31"/>
      <c r="AH481" s="31"/>
      <c r="AI481" s="31"/>
      <c r="AJ481" s="31"/>
    </row>
    <row r="482" customFormat="false" ht="14.25" hidden="false" customHeight="true" outlineLevel="0" collapsed="false">
      <c r="A482" s="116"/>
      <c r="B482" s="19"/>
      <c r="C482" s="19"/>
      <c r="D482" s="36"/>
      <c r="E482" s="19"/>
      <c r="F482" s="37"/>
      <c r="G482" s="38"/>
      <c r="H482" s="38"/>
      <c r="I482" s="38"/>
      <c r="J482" s="38"/>
      <c r="K482" s="38"/>
      <c r="L482" s="38"/>
      <c r="M482" s="38"/>
      <c r="N482" s="39"/>
      <c r="O482" s="38"/>
      <c r="P482" s="30"/>
      <c r="Q482" s="35"/>
      <c r="R482" s="31"/>
      <c r="S482" s="31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31"/>
      <c r="AH482" s="31"/>
      <c r="AI482" s="31"/>
      <c r="AJ482" s="31"/>
    </row>
    <row r="483" customFormat="false" ht="14.25" hidden="false" customHeight="true" outlineLevel="0" collapsed="false">
      <c r="A483" s="116"/>
      <c r="B483" s="19"/>
      <c r="C483" s="19"/>
      <c r="D483" s="36"/>
      <c r="E483" s="19"/>
      <c r="F483" s="37"/>
      <c r="G483" s="38"/>
      <c r="H483" s="38"/>
      <c r="I483" s="38"/>
      <c r="J483" s="38"/>
      <c r="K483" s="38"/>
      <c r="L483" s="38"/>
      <c r="M483" s="38"/>
      <c r="N483" s="39"/>
      <c r="O483" s="38"/>
      <c r="P483" s="30"/>
      <c r="Q483" s="35"/>
      <c r="R483" s="31"/>
      <c r="S483" s="31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31"/>
      <c r="AH483" s="31"/>
      <c r="AI483" s="31"/>
      <c r="AJ483" s="31"/>
    </row>
    <row r="484" customFormat="false" ht="14.25" hidden="false" customHeight="true" outlineLevel="0" collapsed="false">
      <c r="A484" s="116"/>
      <c r="B484" s="19"/>
      <c r="C484" s="19"/>
      <c r="D484" s="36"/>
      <c r="E484" s="19"/>
      <c r="F484" s="37"/>
      <c r="G484" s="38"/>
      <c r="H484" s="38"/>
      <c r="I484" s="38"/>
      <c r="J484" s="38"/>
      <c r="K484" s="38"/>
      <c r="L484" s="38"/>
      <c r="M484" s="38"/>
      <c r="N484" s="39"/>
      <c r="O484" s="38"/>
      <c r="P484" s="30"/>
      <c r="Q484" s="35"/>
      <c r="R484" s="31"/>
      <c r="S484" s="31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31"/>
      <c r="AH484" s="31"/>
      <c r="AI484" s="31"/>
      <c r="AJ484" s="31"/>
    </row>
    <row r="485" customFormat="false" ht="14.25" hidden="false" customHeight="true" outlineLevel="0" collapsed="false">
      <c r="A485" s="116"/>
      <c r="B485" s="19"/>
      <c r="C485" s="19"/>
      <c r="D485" s="36"/>
      <c r="E485" s="19"/>
      <c r="F485" s="37"/>
      <c r="G485" s="38"/>
      <c r="H485" s="38"/>
      <c r="I485" s="38"/>
      <c r="J485" s="38"/>
      <c r="K485" s="38"/>
      <c r="L485" s="38"/>
      <c r="M485" s="38"/>
      <c r="N485" s="39"/>
      <c r="O485" s="38"/>
      <c r="P485" s="30"/>
      <c r="Q485" s="35"/>
      <c r="R485" s="31"/>
      <c r="S485" s="31"/>
      <c r="T485" s="31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31"/>
      <c r="AH485" s="31"/>
      <c r="AI485" s="31"/>
      <c r="AJ485" s="31"/>
    </row>
    <row r="486" customFormat="false" ht="14.25" hidden="false" customHeight="true" outlineLevel="0" collapsed="false">
      <c r="A486" s="116"/>
      <c r="B486" s="19"/>
      <c r="C486" s="19"/>
      <c r="D486" s="36"/>
      <c r="E486" s="19"/>
      <c r="F486" s="37"/>
      <c r="G486" s="38"/>
      <c r="H486" s="38"/>
      <c r="I486" s="38"/>
      <c r="J486" s="38"/>
      <c r="K486" s="38"/>
      <c r="L486" s="38"/>
      <c r="M486" s="38"/>
      <c r="N486" s="39"/>
      <c r="O486" s="38"/>
      <c r="P486" s="30"/>
      <c r="Q486" s="35"/>
      <c r="R486" s="31"/>
      <c r="S486" s="31"/>
      <c r="T486" s="31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31"/>
      <c r="AH486" s="31"/>
      <c r="AI486" s="31"/>
      <c r="AJ486" s="31"/>
    </row>
    <row r="487" customFormat="false" ht="14.25" hidden="false" customHeight="true" outlineLevel="0" collapsed="false">
      <c r="A487" s="116"/>
      <c r="B487" s="19"/>
      <c r="C487" s="19"/>
      <c r="D487" s="36"/>
      <c r="E487" s="19"/>
      <c r="F487" s="37"/>
      <c r="G487" s="38"/>
      <c r="H487" s="38"/>
      <c r="I487" s="38"/>
      <c r="J487" s="38"/>
      <c r="K487" s="38"/>
      <c r="L487" s="38"/>
      <c r="M487" s="38"/>
      <c r="N487" s="39"/>
      <c r="O487" s="38"/>
      <c r="P487" s="30"/>
      <c r="Q487" s="35"/>
      <c r="R487" s="31"/>
      <c r="S487" s="31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31"/>
      <c r="AH487" s="31"/>
      <c r="AI487" s="31"/>
      <c r="AJ487" s="31"/>
    </row>
    <row r="488" customFormat="false" ht="14.25" hidden="false" customHeight="true" outlineLevel="0" collapsed="false">
      <c r="A488" s="116"/>
      <c r="B488" s="19"/>
      <c r="C488" s="19"/>
      <c r="D488" s="36"/>
      <c r="E488" s="19"/>
      <c r="F488" s="37"/>
      <c r="G488" s="38"/>
      <c r="H488" s="38"/>
      <c r="I488" s="38"/>
      <c r="J488" s="38"/>
      <c r="K488" s="38"/>
      <c r="L488" s="38"/>
      <c r="M488" s="38"/>
      <c r="N488" s="39"/>
      <c r="O488" s="38"/>
      <c r="P488" s="30"/>
      <c r="Q488" s="35"/>
      <c r="R488" s="31"/>
      <c r="S488" s="31"/>
      <c r="T488" s="31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31"/>
      <c r="AH488" s="31"/>
      <c r="AI488" s="31"/>
      <c r="AJ488" s="31"/>
    </row>
    <row r="489" customFormat="false" ht="14.25" hidden="false" customHeight="true" outlineLevel="0" collapsed="false">
      <c r="A489" s="116"/>
      <c r="B489" s="19"/>
      <c r="C489" s="19"/>
      <c r="D489" s="36"/>
      <c r="E489" s="19"/>
      <c r="F489" s="37"/>
      <c r="G489" s="38"/>
      <c r="H489" s="38"/>
      <c r="I489" s="38"/>
      <c r="J489" s="38"/>
      <c r="K489" s="38"/>
      <c r="L489" s="38"/>
      <c r="M489" s="38"/>
      <c r="N489" s="39"/>
      <c r="O489" s="38"/>
      <c r="P489" s="30"/>
      <c r="Q489" s="35"/>
      <c r="R489" s="31"/>
      <c r="S489" s="31"/>
      <c r="T489" s="31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31"/>
      <c r="AH489" s="31"/>
      <c r="AI489" s="31"/>
      <c r="AJ489" s="31"/>
    </row>
    <row r="490" customFormat="false" ht="14.25" hidden="false" customHeight="true" outlineLevel="0" collapsed="false">
      <c r="A490" s="116"/>
      <c r="B490" s="19"/>
      <c r="C490" s="19"/>
      <c r="D490" s="36"/>
      <c r="E490" s="19"/>
      <c r="F490" s="37"/>
      <c r="G490" s="38"/>
      <c r="H490" s="38"/>
      <c r="I490" s="38"/>
      <c r="J490" s="38"/>
      <c r="K490" s="38"/>
      <c r="L490" s="38"/>
      <c r="M490" s="38"/>
      <c r="N490" s="39"/>
      <c r="O490" s="38"/>
      <c r="P490" s="30"/>
      <c r="Q490" s="35"/>
      <c r="R490" s="31"/>
      <c r="S490" s="31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31"/>
      <c r="AH490" s="31"/>
      <c r="AI490" s="31"/>
      <c r="AJ490" s="31"/>
    </row>
    <row r="491" customFormat="false" ht="14.25" hidden="false" customHeight="true" outlineLevel="0" collapsed="false">
      <c r="A491" s="116"/>
      <c r="B491" s="19"/>
      <c r="C491" s="19"/>
      <c r="D491" s="36"/>
      <c r="E491" s="19"/>
      <c r="F491" s="37"/>
      <c r="G491" s="38"/>
      <c r="H491" s="38"/>
      <c r="I491" s="38"/>
      <c r="J491" s="38"/>
      <c r="K491" s="38"/>
      <c r="L491" s="38"/>
      <c r="M491" s="38"/>
      <c r="N491" s="39"/>
      <c r="O491" s="38"/>
      <c r="P491" s="30"/>
      <c r="Q491" s="35"/>
      <c r="R491" s="31"/>
      <c r="S491" s="31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31"/>
      <c r="AH491" s="31"/>
      <c r="AI491" s="31"/>
      <c r="AJ491" s="31"/>
    </row>
    <row r="492" customFormat="false" ht="14.25" hidden="false" customHeight="true" outlineLevel="0" collapsed="false">
      <c r="A492" s="116"/>
      <c r="B492" s="19"/>
      <c r="C492" s="19"/>
      <c r="D492" s="36"/>
      <c r="E492" s="19"/>
      <c r="F492" s="37"/>
      <c r="G492" s="38"/>
      <c r="H492" s="38"/>
      <c r="I492" s="38"/>
      <c r="J492" s="38"/>
      <c r="K492" s="38"/>
      <c r="L492" s="38"/>
      <c r="M492" s="38"/>
      <c r="N492" s="39"/>
      <c r="O492" s="38"/>
      <c r="P492" s="30"/>
      <c r="Q492" s="35"/>
      <c r="R492" s="31"/>
      <c r="S492" s="31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31"/>
      <c r="AH492" s="31"/>
      <c r="AI492" s="31"/>
      <c r="AJ492" s="31"/>
    </row>
    <row r="493" customFormat="false" ht="14.25" hidden="false" customHeight="true" outlineLevel="0" collapsed="false">
      <c r="A493" s="116"/>
      <c r="B493" s="19"/>
      <c r="C493" s="19"/>
      <c r="D493" s="36"/>
      <c r="E493" s="19"/>
      <c r="F493" s="37"/>
      <c r="G493" s="38"/>
      <c r="H493" s="38"/>
      <c r="I493" s="38"/>
      <c r="J493" s="38"/>
      <c r="K493" s="38"/>
      <c r="L493" s="38"/>
      <c r="M493" s="38"/>
      <c r="N493" s="39"/>
      <c r="O493" s="38"/>
      <c r="P493" s="30"/>
      <c r="Q493" s="35"/>
      <c r="R493" s="31"/>
      <c r="S493" s="31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31"/>
      <c r="AH493" s="31"/>
      <c r="AI493" s="31"/>
      <c r="AJ493" s="31"/>
    </row>
    <row r="494" customFormat="false" ht="14.25" hidden="false" customHeight="true" outlineLevel="0" collapsed="false">
      <c r="A494" s="116"/>
      <c r="B494" s="19"/>
      <c r="C494" s="19"/>
      <c r="D494" s="36"/>
      <c r="E494" s="19"/>
      <c r="F494" s="37"/>
      <c r="G494" s="38"/>
      <c r="H494" s="38"/>
      <c r="I494" s="38"/>
      <c r="J494" s="38"/>
      <c r="K494" s="38"/>
      <c r="L494" s="38"/>
      <c r="M494" s="38"/>
      <c r="N494" s="39"/>
      <c r="O494" s="38"/>
      <c r="P494" s="30"/>
      <c r="Q494" s="35"/>
      <c r="R494" s="31"/>
      <c r="S494" s="31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31"/>
      <c r="AH494" s="31"/>
      <c r="AI494" s="31"/>
      <c r="AJ494" s="31"/>
    </row>
    <row r="495" customFormat="false" ht="14.25" hidden="false" customHeight="true" outlineLevel="0" collapsed="false">
      <c r="A495" s="116"/>
      <c r="B495" s="19"/>
      <c r="C495" s="19"/>
      <c r="D495" s="36"/>
      <c r="E495" s="19"/>
      <c r="F495" s="37"/>
      <c r="G495" s="38"/>
      <c r="H495" s="38"/>
      <c r="I495" s="38"/>
      <c r="J495" s="38"/>
      <c r="K495" s="38"/>
      <c r="L495" s="38"/>
      <c r="M495" s="38"/>
      <c r="N495" s="39"/>
      <c r="O495" s="38"/>
      <c r="P495" s="30"/>
      <c r="Q495" s="35"/>
      <c r="R495" s="31"/>
      <c r="S495" s="31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31"/>
      <c r="AH495" s="31"/>
      <c r="AI495" s="31"/>
      <c r="AJ495" s="31"/>
    </row>
    <row r="496" customFormat="false" ht="14.25" hidden="false" customHeight="true" outlineLevel="0" collapsed="false">
      <c r="A496" s="116"/>
      <c r="B496" s="19"/>
      <c r="C496" s="19"/>
      <c r="D496" s="36"/>
      <c r="E496" s="19"/>
      <c r="F496" s="37"/>
      <c r="G496" s="38"/>
      <c r="H496" s="38"/>
      <c r="I496" s="38"/>
      <c r="J496" s="38"/>
      <c r="K496" s="38"/>
      <c r="L496" s="38"/>
      <c r="M496" s="38"/>
      <c r="N496" s="39"/>
      <c r="O496" s="38"/>
      <c r="P496" s="30"/>
      <c r="Q496" s="35"/>
      <c r="R496" s="31"/>
      <c r="S496" s="31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31"/>
      <c r="AH496" s="31"/>
      <c r="AI496" s="31"/>
      <c r="AJ496" s="31"/>
    </row>
    <row r="497" customFormat="false" ht="14.25" hidden="false" customHeight="true" outlineLevel="0" collapsed="false">
      <c r="A497" s="116"/>
      <c r="B497" s="19"/>
      <c r="C497" s="19"/>
      <c r="D497" s="36"/>
      <c r="E497" s="19"/>
      <c r="F497" s="37"/>
      <c r="G497" s="38"/>
      <c r="H497" s="38"/>
      <c r="I497" s="38"/>
      <c r="J497" s="38"/>
      <c r="K497" s="38"/>
      <c r="L497" s="38"/>
      <c r="M497" s="38"/>
      <c r="N497" s="39"/>
      <c r="O497" s="38"/>
      <c r="P497" s="30"/>
      <c r="Q497" s="35"/>
      <c r="R497" s="31"/>
      <c r="S497" s="31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31"/>
      <c r="AH497" s="31"/>
      <c r="AI497" s="31"/>
      <c r="AJ497" s="31"/>
    </row>
    <row r="498" customFormat="false" ht="14.25" hidden="false" customHeight="true" outlineLevel="0" collapsed="false">
      <c r="A498" s="116"/>
      <c r="B498" s="19"/>
      <c r="C498" s="19"/>
      <c r="D498" s="36"/>
      <c r="E498" s="19"/>
      <c r="F498" s="37"/>
      <c r="G498" s="38"/>
      <c r="H498" s="38"/>
      <c r="I498" s="38"/>
      <c r="J498" s="38"/>
      <c r="K498" s="38"/>
      <c r="L498" s="38"/>
      <c r="M498" s="38"/>
      <c r="N498" s="39"/>
      <c r="O498" s="38"/>
      <c r="P498" s="30"/>
      <c r="Q498" s="35"/>
      <c r="R498" s="31"/>
      <c r="S498" s="31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31"/>
      <c r="AH498" s="31"/>
      <c r="AI498" s="31"/>
      <c r="AJ498" s="31"/>
    </row>
    <row r="499" customFormat="false" ht="14.25" hidden="false" customHeight="true" outlineLevel="0" collapsed="false">
      <c r="A499" s="116"/>
      <c r="B499" s="19"/>
      <c r="C499" s="19"/>
      <c r="D499" s="36"/>
      <c r="E499" s="19"/>
      <c r="F499" s="37"/>
      <c r="G499" s="38"/>
      <c r="H499" s="38"/>
      <c r="I499" s="38"/>
      <c r="J499" s="38"/>
      <c r="K499" s="38"/>
      <c r="L499" s="38"/>
      <c r="M499" s="38"/>
      <c r="N499" s="39"/>
      <c r="O499" s="38"/>
      <c r="P499" s="30"/>
      <c r="Q499" s="35"/>
      <c r="R499" s="31"/>
      <c r="S499" s="31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31"/>
      <c r="AH499" s="31"/>
      <c r="AI499" s="31"/>
      <c r="AJ499" s="31"/>
    </row>
    <row r="500" customFormat="false" ht="14.25" hidden="false" customHeight="true" outlineLevel="0" collapsed="false">
      <c r="A500" s="116"/>
      <c r="B500" s="19"/>
      <c r="C500" s="19"/>
      <c r="D500" s="36"/>
      <c r="E500" s="19"/>
      <c r="F500" s="37"/>
      <c r="G500" s="38"/>
      <c r="H500" s="38"/>
      <c r="I500" s="38"/>
      <c r="J500" s="38"/>
      <c r="K500" s="38"/>
      <c r="L500" s="38"/>
      <c r="M500" s="38"/>
      <c r="N500" s="39"/>
      <c r="O500" s="38"/>
      <c r="P500" s="30"/>
      <c r="Q500" s="35"/>
      <c r="R500" s="31"/>
      <c r="S500" s="31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31"/>
      <c r="AH500" s="31"/>
      <c r="AI500" s="31"/>
      <c r="AJ500" s="31"/>
    </row>
    <row r="501" customFormat="false" ht="14.25" hidden="false" customHeight="true" outlineLevel="0" collapsed="false">
      <c r="A501" s="116"/>
      <c r="B501" s="19"/>
      <c r="C501" s="19"/>
      <c r="D501" s="36"/>
      <c r="E501" s="19"/>
      <c r="F501" s="37"/>
      <c r="G501" s="38"/>
      <c r="H501" s="38"/>
      <c r="I501" s="38"/>
      <c r="J501" s="38"/>
      <c r="K501" s="38"/>
      <c r="L501" s="38"/>
      <c r="M501" s="38"/>
      <c r="N501" s="39"/>
      <c r="O501" s="38"/>
      <c r="P501" s="30"/>
      <c r="Q501" s="35"/>
      <c r="R501" s="31"/>
      <c r="S501" s="31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31"/>
      <c r="AH501" s="31"/>
      <c r="AI501" s="31"/>
      <c r="AJ501" s="31"/>
    </row>
    <row r="502" customFormat="false" ht="14.25" hidden="false" customHeight="true" outlineLevel="0" collapsed="false">
      <c r="A502" s="116"/>
      <c r="B502" s="19"/>
      <c r="C502" s="19"/>
      <c r="D502" s="36"/>
      <c r="E502" s="19"/>
      <c r="F502" s="37"/>
      <c r="G502" s="38"/>
      <c r="H502" s="38"/>
      <c r="I502" s="38"/>
      <c r="J502" s="38"/>
      <c r="K502" s="38"/>
      <c r="L502" s="38"/>
      <c r="M502" s="38"/>
      <c r="N502" s="39"/>
      <c r="O502" s="38"/>
      <c r="P502" s="30"/>
      <c r="Q502" s="35"/>
      <c r="R502" s="31"/>
      <c r="S502" s="31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31"/>
      <c r="AH502" s="31"/>
      <c r="AI502" s="31"/>
      <c r="AJ502" s="31"/>
    </row>
    <row r="503" customFormat="false" ht="14.25" hidden="false" customHeight="true" outlineLevel="0" collapsed="false">
      <c r="A503" s="116"/>
      <c r="B503" s="19"/>
      <c r="C503" s="19"/>
      <c r="D503" s="36"/>
      <c r="E503" s="19"/>
      <c r="F503" s="37"/>
      <c r="G503" s="38"/>
      <c r="H503" s="38"/>
      <c r="I503" s="38"/>
      <c r="J503" s="38"/>
      <c r="K503" s="38"/>
      <c r="L503" s="38"/>
      <c r="M503" s="38"/>
      <c r="N503" s="39"/>
      <c r="O503" s="38"/>
      <c r="P503" s="30"/>
      <c r="Q503" s="35"/>
      <c r="R503" s="31"/>
      <c r="S503" s="31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31"/>
      <c r="AH503" s="31"/>
      <c r="AI503" s="31"/>
      <c r="AJ503" s="31"/>
    </row>
    <row r="504" customFormat="false" ht="14.25" hidden="false" customHeight="true" outlineLevel="0" collapsed="false">
      <c r="A504" s="116"/>
      <c r="B504" s="19"/>
      <c r="C504" s="19"/>
      <c r="D504" s="36"/>
      <c r="E504" s="19"/>
      <c r="F504" s="37"/>
      <c r="G504" s="38"/>
      <c r="H504" s="38"/>
      <c r="I504" s="38"/>
      <c r="J504" s="38"/>
      <c r="K504" s="38"/>
      <c r="L504" s="38"/>
      <c r="M504" s="38"/>
      <c r="N504" s="39"/>
      <c r="O504" s="38"/>
      <c r="P504" s="30"/>
      <c r="Q504" s="35"/>
      <c r="R504" s="31"/>
      <c r="S504" s="31"/>
      <c r="T504" s="31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31"/>
      <c r="AH504" s="31"/>
      <c r="AI504" s="31"/>
      <c r="AJ504" s="31"/>
    </row>
    <row r="505" customFormat="false" ht="14.25" hidden="false" customHeight="true" outlineLevel="0" collapsed="false">
      <c r="A505" s="116"/>
      <c r="B505" s="19"/>
      <c r="C505" s="19"/>
      <c r="D505" s="36"/>
      <c r="E505" s="19"/>
      <c r="F505" s="37"/>
      <c r="G505" s="38"/>
      <c r="H505" s="38"/>
      <c r="I505" s="38"/>
      <c r="J505" s="38"/>
      <c r="K505" s="38"/>
      <c r="L505" s="38"/>
      <c r="M505" s="38"/>
      <c r="N505" s="39"/>
      <c r="O505" s="38"/>
      <c r="P505" s="30"/>
      <c r="Q505" s="35"/>
      <c r="R505" s="31"/>
      <c r="S505" s="31"/>
      <c r="T505" s="31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31"/>
      <c r="AH505" s="31"/>
      <c r="AI505" s="31"/>
      <c r="AJ505" s="31"/>
    </row>
    <row r="506" customFormat="false" ht="14.25" hidden="false" customHeight="true" outlineLevel="0" collapsed="false">
      <c r="A506" s="116"/>
      <c r="B506" s="19"/>
      <c r="C506" s="19"/>
      <c r="D506" s="36"/>
      <c r="E506" s="19"/>
      <c r="F506" s="37"/>
      <c r="G506" s="38"/>
      <c r="H506" s="38"/>
      <c r="I506" s="38"/>
      <c r="J506" s="38"/>
      <c r="K506" s="38"/>
      <c r="L506" s="38"/>
      <c r="M506" s="38"/>
      <c r="N506" s="39"/>
      <c r="O506" s="38"/>
      <c r="P506" s="30"/>
      <c r="Q506" s="35"/>
      <c r="R506" s="31"/>
      <c r="S506" s="31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31"/>
      <c r="AH506" s="31"/>
      <c r="AI506" s="31"/>
      <c r="AJ506" s="31"/>
    </row>
    <row r="507" customFormat="false" ht="14.25" hidden="false" customHeight="true" outlineLevel="0" collapsed="false">
      <c r="A507" s="116"/>
      <c r="B507" s="19"/>
      <c r="C507" s="19"/>
      <c r="D507" s="36"/>
      <c r="E507" s="19"/>
      <c r="F507" s="37"/>
      <c r="G507" s="38"/>
      <c r="H507" s="38"/>
      <c r="I507" s="38"/>
      <c r="J507" s="38"/>
      <c r="K507" s="38"/>
      <c r="L507" s="38"/>
      <c r="M507" s="38"/>
      <c r="N507" s="39"/>
      <c r="O507" s="38"/>
      <c r="P507" s="30"/>
      <c r="Q507" s="35"/>
      <c r="R507" s="31"/>
      <c r="S507" s="31"/>
      <c r="T507" s="31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31"/>
      <c r="AH507" s="31"/>
      <c r="AI507" s="31"/>
      <c r="AJ507" s="31"/>
    </row>
    <row r="508" customFormat="false" ht="14.25" hidden="false" customHeight="true" outlineLevel="0" collapsed="false">
      <c r="A508" s="116"/>
      <c r="B508" s="19"/>
      <c r="C508" s="19"/>
      <c r="D508" s="36"/>
      <c r="E508" s="19"/>
      <c r="F508" s="37"/>
      <c r="G508" s="38"/>
      <c r="H508" s="38"/>
      <c r="I508" s="38"/>
      <c r="J508" s="38"/>
      <c r="K508" s="38"/>
      <c r="L508" s="38"/>
      <c r="M508" s="38"/>
      <c r="N508" s="39"/>
      <c r="O508" s="38"/>
      <c r="P508" s="30"/>
      <c r="Q508" s="35"/>
      <c r="R508" s="31"/>
      <c r="S508" s="31"/>
      <c r="T508" s="31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31"/>
      <c r="AH508" s="31"/>
      <c r="AI508" s="31"/>
      <c r="AJ508" s="31"/>
    </row>
    <row r="509" customFormat="false" ht="14.25" hidden="false" customHeight="true" outlineLevel="0" collapsed="false">
      <c r="A509" s="116"/>
      <c r="B509" s="19"/>
      <c r="C509" s="19"/>
      <c r="D509" s="36"/>
      <c r="E509" s="19"/>
      <c r="F509" s="37"/>
      <c r="G509" s="38"/>
      <c r="H509" s="38"/>
      <c r="I509" s="38"/>
      <c r="J509" s="38"/>
      <c r="K509" s="38"/>
      <c r="L509" s="38"/>
      <c r="M509" s="38"/>
      <c r="N509" s="39"/>
      <c r="O509" s="38"/>
      <c r="P509" s="30"/>
      <c r="Q509" s="35"/>
      <c r="R509" s="31"/>
      <c r="S509" s="31"/>
      <c r="T509" s="31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31"/>
      <c r="AH509" s="31"/>
      <c r="AI509" s="31"/>
      <c r="AJ509" s="31"/>
    </row>
    <row r="510" customFormat="false" ht="14.25" hidden="false" customHeight="true" outlineLevel="0" collapsed="false">
      <c r="A510" s="116"/>
      <c r="B510" s="19"/>
      <c r="C510" s="19"/>
      <c r="D510" s="36"/>
      <c r="E510" s="19"/>
      <c r="F510" s="37"/>
      <c r="G510" s="38"/>
      <c r="H510" s="38"/>
      <c r="I510" s="38"/>
      <c r="J510" s="38"/>
      <c r="K510" s="38"/>
      <c r="L510" s="38"/>
      <c r="M510" s="38"/>
      <c r="N510" s="39"/>
      <c r="O510" s="38"/>
      <c r="P510" s="30"/>
      <c r="Q510" s="35"/>
      <c r="R510" s="31"/>
      <c r="S510" s="31"/>
      <c r="T510" s="31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31"/>
      <c r="AH510" s="31"/>
      <c r="AI510" s="31"/>
      <c r="AJ510" s="31"/>
    </row>
    <row r="511" customFormat="false" ht="14.25" hidden="false" customHeight="true" outlineLevel="0" collapsed="false">
      <c r="A511" s="116"/>
      <c r="B511" s="19"/>
      <c r="C511" s="19"/>
      <c r="D511" s="36"/>
      <c r="E511" s="19"/>
      <c r="F511" s="37"/>
      <c r="G511" s="38"/>
      <c r="H511" s="38"/>
      <c r="I511" s="38"/>
      <c r="J511" s="38"/>
      <c r="K511" s="38"/>
      <c r="L511" s="38"/>
      <c r="M511" s="38"/>
      <c r="N511" s="39"/>
      <c r="O511" s="38"/>
      <c r="P511" s="30"/>
      <c r="Q511" s="35"/>
      <c r="R511" s="31"/>
      <c r="S511" s="31"/>
      <c r="T511" s="31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31"/>
      <c r="AH511" s="31"/>
      <c r="AI511" s="31"/>
      <c r="AJ511" s="31"/>
    </row>
    <row r="512" customFormat="false" ht="14.25" hidden="false" customHeight="true" outlineLevel="0" collapsed="false">
      <c r="A512" s="116"/>
      <c r="B512" s="19"/>
      <c r="C512" s="19"/>
      <c r="D512" s="36"/>
      <c r="E512" s="19"/>
      <c r="F512" s="37"/>
      <c r="G512" s="38"/>
      <c r="H512" s="38"/>
      <c r="I512" s="38"/>
      <c r="J512" s="38"/>
      <c r="K512" s="38"/>
      <c r="L512" s="38"/>
      <c r="M512" s="38"/>
      <c r="N512" s="39"/>
      <c r="O512" s="38"/>
      <c r="P512" s="30"/>
      <c r="Q512" s="35"/>
      <c r="R512" s="31"/>
      <c r="S512" s="31"/>
      <c r="T512" s="31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F512" s="31"/>
      <c r="AG512" s="31"/>
      <c r="AH512" s="31"/>
      <c r="AI512" s="31"/>
      <c r="AJ512" s="31"/>
    </row>
    <row r="513" customFormat="false" ht="14.25" hidden="false" customHeight="true" outlineLevel="0" collapsed="false">
      <c r="A513" s="116"/>
      <c r="B513" s="19"/>
      <c r="C513" s="19"/>
      <c r="D513" s="36"/>
      <c r="E513" s="19"/>
      <c r="F513" s="37"/>
      <c r="G513" s="38"/>
      <c r="H513" s="38"/>
      <c r="I513" s="38"/>
      <c r="J513" s="38"/>
      <c r="K513" s="38"/>
      <c r="L513" s="38"/>
      <c r="M513" s="38"/>
      <c r="N513" s="39"/>
      <c r="O513" s="38"/>
      <c r="P513" s="30"/>
      <c r="Q513" s="35"/>
      <c r="R513" s="31"/>
      <c r="S513" s="31"/>
      <c r="T513" s="31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31"/>
      <c r="AH513" s="31"/>
      <c r="AI513" s="31"/>
      <c r="AJ513" s="31"/>
    </row>
    <row r="514" customFormat="false" ht="14.25" hidden="false" customHeight="true" outlineLevel="0" collapsed="false">
      <c r="A514" s="116"/>
      <c r="B514" s="19"/>
      <c r="C514" s="19"/>
      <c r="D514" s="36"/>
      <c r="E514" s="19"/>
      <c r="F514" s="37"/>
      <c r="G514" s="38"/>
      <c r="H514" s="38"/>
      <c r="I514" s="38"/>
      <c r="J514" s="38"/>
      <c r="K514" s="38"/>
      <c r="L514" s="38"/>
      <c r="M514" s="38"/>
      <c r="N514" s="39"/>
      <c r="O514" s="38"/>
      <c r="P514" s="30"/>
      <c r="Q514" s="35"/>
      <c r="R514" s="31"/>
      <c r="S514" s="31"/>
      <c r="T514" s="31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31"/>
      <c r="AH514" s="31"/>
      <c r="AI514" s="31"/>
      <c r="AJ514" s="31"/>
    </row>
    <row r="515" customFormat="false" ht="14.25" hidden="false" customHeight="true" outlineLevel="0" collapsed="false">
      <c r="A515" s="116"/>
      <c r="B515" s="19"/>
      <c r="C515" s="19"/>
      <c r="D515" s="36"/>
      <c r="E515" s="19"/>
      <c r="F515" s="37"/>
      <c r="G515" s="38"/>
      <c r="H515" s="38"/>
      <c r="I515" s="38"/>
      <c r="J515" s="38"/>
      <c r="K515" s="38"/>
      <c r="L515" s="38"/>
      <c r="M515" s="38"/>
      <c r="N515" s="39"/>
      <c r="O515" s="38"/>
      <c r="P515" s="30"/>
      <c r="Q515" s="35"/>
      <c r="R515" s="31"/>
      <c r="S515" s="31"/>
      <c r="T515" s="31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31"/>
      <c r="AH515" s="31"/>
      <c r="AI515" s="31"/>
      <c r="AJ515" s="31"/>
    </row>
    <row r="516" customFormat="false" ht="14.25" hidden="false" customHeight="true" outlineLevel="0" collapsed="false">
      <c r="A516" s="116"/>
      <c r="B516" s="19"/>
      <c r="C516" s="19"/>
      <c r="D516" s="36"/>
      <c r="E516" s="19"/>
      <c r="F516" s="37"/>
      <c r="G516" s="38"/>
      <c r="H516" s="38"/>
      <c r="I516" s="38"/>
      <c r="J516" s="38"/>
      <c r="K516" s="38"/>
      <c r="L516" s="38"/>
      <c r="M516" s="38"/>
      <c r="N516" s="39"/>
      <c r="O516" s="38"/>
      <c r="P516" s="30"/>
      <c r="Q516" s="35"/>
      <c r="R516" s="31"/>
      <c r="S516" s="31"/>
      <c r="T516" s="31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F516" s="31"/>
      <c r="AG516" s="31"/>
      <c r="AH516" s="31"/>
      <c r="AI516" s="31"/>
      <c r="AJ516" s="31"/>
    </row>
    <row r="517" customFormat="false" ht="14.25" hidden="false" customHeight="true" outlineLevel="0" collapsed="false">
      <c r="A517" s="116"/>
      <c r="B517" s="19"/>
      <c r="C517" s="19"/>
      <c r="D517" s="36"/>
      <c r="E517" s="19"/>
      <c r="F517" s="37"/>
      <c r="G517" s="38"/>
      <c r="H517" s="38"/>
      <c r="I517" s="38"/>
      <c r="J517" s="38"/>
      <c r="K517" s="38"/>
      <c r="L517" s="38"/>
      <c r="M517" s="38"/>
      <c r="N517" s="39"/>
      <c r="O517" s="38"/>
      <c r="P517" s="30"/>
      <c r="Q517" s="35"/>
      <c r="R517" s="31"/>
      <c r="S517" s="31"/>
      <c r="T517" s="31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F517" s="31"/>
      <c r="AG517" s="31"/>
      <c r="AH517" s="31"/>
      <c r="AI517" s="31"/>
      <c r="AJ517" s="31"/>
    </row>
    <row r="518" customFormat="false" ht="14.25" hidden="false" customHeight="true" outlineLevel="0" collapsed="false">
      <c r="A518" s="116"/>
      <c r="B518" s="19"/>
      <c r="C518" s="19"/>
      <c r="D518" s="36"/>
      <c r="E518" s="19"/>
      <c r="F518" s="37"/>
      <c r="G518" s="38"/>
      <c r="H518" s="38"/>
      <c r="I518" s="38"/>
      <c r="J518" s="38"/>
      <c r="K518" s="38"/>
      <c r="L518" s="38"/>
      <c r="M518" s="38"/>
      <c r="N518" s="39"/>
      <c r="O518" s="38"/>
      <c r="P518" s="30"/>
      <c r="Q518" s="35"/>
      <c r="R518" s="31"/>
      <c r="S518" s="31"/>
      <c r="T518" s="31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31"/>
      <c r="AH518" s="31"/>
      <c r="AI518" s="31"/>
      <c r="AJ518" s="31"/>
    </row>
    <row r="519" customFormat="false" ht="14.25" hidden="false" customHeight="true" outlineLevel="0" collapsed="false">
      <c r="A519" s="116"/>
      <c r="B519" s="19"/>
      <c r="C519" s="19"/>
      <c r="D519" s="36"/>
      <c r="E519" s="19"/>
      <c r="F519" s="37"/>
      <c r="G519" s="38"/>
      <c r="H519" s="38"/>
      <c r="I519" s="38"/>
      <c r="J519" s="38"/>
      <c r="K519" s="38"/>
      <c r="L519" s="38"/>
      <c r="M519" s="38"/>
      <c r="N519" s="39"/>
      <c r="O519" s="38"/>
      <c r="P519" s="30"/>
      <c r="Q519" s="35"/>
      <c r="R519" s="31"/>
      <c r="S519" s="31"/>
      <c r="T519" s="31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31"/>
      <c r="AH519" s="31"/>
      <c r="AI519" s="31"/>
      <c r="AJ519" s="31"/>
    </row>
    <row r="520" customFormat="false" ht="14.25" hidden="false" customHeight="true" outlineLevel="0" collapsed="false">
      <c r="A520" s="116"/>
      <c r="B520" s="19"/>
      <c r="C520" s="19"/>
      <c r="D520" s="36"/>
      <c r="E520" s="19"/>
      <c r="F520" s="37"/>
      <c r="G520" s="38"/>
      <c r="H520" s="38"/>
      <c r="I520" s="38"/>
      <c r="J520" s="38"/>
      <c r="K520" s="38"/>
      <c r="L520" s="38"/>
      <c r="M520" s="38"/>
      <c r="N520" s="39"/>
      <c r="O520" s="38"/>
      <c r="P520" s="30"/>
      <c r="Q520" s="35"/>
      <c r="R520" s="31"/>
      <c r="S520" s="31"/>
      <c r="T520" s="31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F520" s="31"/>
      <c r="AG520" s="31"/>
      <c r="AH520" s="31"/>
      <c r="AI520" s="31"/>
      <c r="AJ520" s="31"/>
    </row>
    <row r="521" customFormat="false" ht="14.25" hidden="false" customHeight="true" outlineLevel="0" collapsed="false">
      <c r="A521" s="116"/>
      <c r="B521" s="19"/>
      <c r="C521" s="19"/>
      <c r="D521" s="36"/>
      <c r="E521" s="19"/>
      <c r="F521" s="37"/>
      <c r="G521" s="38"/>
      <c r="H521" s="38"/>
      <c r="I521" s="38"/>
      <c r="J521" s="38"/>
      <c r="K521" s="38"/>
      <c r="L521" s="38"/>
      <c r="M521" s="38"/>
      <c r="N521" s="39"/>
      <c r="O521" s="38"/>
      <c r="P521" s="30"/>
      <c r="Q521" s="35"/>
      <c r="R521" s="31"/>
      <c r="S521" s="31"/>
      <c r="T521" s="31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F521" s="31"/>
      <c r="AG521" s="31"/>
      <c r="AH521" s="31"/>
      <c r="AI521" s="31"/>
      <c r="AJ521" s="31"/>
    </row>
    <row r="522" customFormat="false" ht="14.25" hidden="false" customHeight="true" outlineLevel="0" collapsed="false">
      <c r="A522" s="116"/>
      <c r="B522" s="19"/>
      <c r="C522" s="19"/>
      <c r="D522" s="36"/>
      <c r="E522" s="19"/>
      <c r="F522" s="37"/>
      <c r="G522" s="38"/>
      <c r="H522" s="38"/>
      <c r="I522" s="38"/>
      <c r="J522" s="38"/>
      <c r="K522" s="38"/>
      <c r="L522" s="38"/>
      <c r="M522" s="38"/>
      <c r="N522" s="39"/>
      <c r="O522" s="38"/>
      <c r="P522" s="30"/>
      <c r="Q522" s="35"/>
      <c r="R522" s="31"/>
      <c r="S522" s="31"/>
      <c r="T522" s="31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F522" s="31"/>
      <c r="AG522" s="31"/>
      <c r="AH522" s="31"/>
      <c r="AI522" s="31"/>
      <c r="AJ522" s="31"/>
    </row>
    <row r="523" customFormat="false" ht="14.25" hidden="false" customHeight="true" outlineLevel="0" collapsed="false">
      <c r="A523" s="116"/>
      <c r="B523" s="19"/>
      <c r="C523" s="19"/>
      <c r="D523" s="36"/>
      <c r="E523" s="19"/>
      <c r="F523" s="37"/>
      <c r="G523" s="38"/>
      <c r="H523" s="38"/>
      <c r="I523" s="38"/>
      <c r="J523" s="38"/>
      <c r="K523" s="38"/>
      <c r="L523" s="38"/>
      <c r="M523" s="38"/>
      <c r="N523" s="39"/>
      <c r="O523" s="38"/>
      <c r="P523" s="30"/>
      <c r="Q523" s="35"/>
      <c r="R523" s="31"/>
      <c r="S523" s="31"/>
      <c r="T523" s="31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F523" s="31"/>
      <c r="AG523" s="31"/>
      <c r="AH523" s="31"/>
      <c r="AI523" s="31"/>
      <c r="AJ523" s="31"/>
    </row>
    <row r="524" customFormat="false" ht="14.25" hidden="false" customHeight="true" outlineLevel="0" collapsed="false">
      <c r="A524" s="116"/>
      <c r="B524" s="19"/>
      <c r="C524" s="19"/>
      <c r="D524" s="36"/>
      <c r="E524" s="19"/>
      <c r="F524" s="37"/>
      <c r="G524" s="38"/>
      <c r="H524" s="38"/>
      <c r="I524" s="38"/>
      <c r="J524" s="38"/>
      <c r="K524" s="38"/>
      <c r="L524" s="38"/>
      <c r="M524" s="38"/>
      <c r="N524" s="39"/>
      <c r="O524" s="38"/>
      <c r="P524" s="30"/>
      <c r="Q524" s="35"/>
      <c r="R524" s="31"/>
      <c r="S524" s="31"/>
      <c r="T524" s="31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F524" s="31"/>
      <c r="AG524" s="31"/>
      <c r="AH524" s="31"/>
      <c r="AI524" s="31"/>
      <c r="AJ524" s="31"/>
    </row>
    <row r="525" customFormat="false" ht="14.25" hidden="false" customHeight="true" outlineLevel="0" collapsed="false">
      <c r="A525" s="116"/>
      <c r="B525" s="19"/>
      <c r="C525" s="19"/>
      <c r="D525" s="36"/>
      <c r="E525" s="19"/>
      <c r="F525" s="37"/>
      <c r="G525" s="38"/>
      <c r="H525" s="38"/>
      <c r="I525" s="38"/>
      <c r="J525" s="38"/>
      <c r="K525" s="38"/>
      <c r="L525" s="38"/>
      <c r="M525" s="38"/>
      <c r="N525" s="39"/>
      <c r="O525" s="38"/>
      <c r="P525" s="30"/>
      <c r="Q525" s="35"/>
      <c r="R525" s="31"/>
      <c r="S525" s="31"/>
      <c r="T525" s="31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F525" s="31"/>
      <c r="AG525" s="31"/>
      <c r="AH525" s="31"/>
      <c r="AI525" s="31"/>
      <c r="AJ525" s="31"/>
    </row>
    <row r="526" customFormat="false" ht="14.25" hidden="false" customHeight="true" outlineLevel="0" collapsed="false">
      <c r="A526" s="116"/>
      <c r="B526" s="19"/>
      <c r="C526" s="19"/>
      <c r="D526" s="36"/>
      <c r="E526" s="19"/>
      <c r="F526" s="37"/>
      <c r="G526" s="38"/>
      <c r="H526" s="38"/>
      <c r="I526" s="38"/>
      <c r="J526" s="38"/>
      <c r="K526" s="38"/>
      <c r="L526" s="38"/>
      <c r="M526" s="38"/>
      <c r="N526" s="39"/>
      <c r="O526" s="38"/>
      <c r="P526" s="30"/>
      <c r="Q526" s="35"/>
      <c r="R526" s="31"/>
      <c r="S526" s="31"/>
      <c r="T526" s="31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F526" s="31"/>
      <c r="AG526" s="31"/>
      <c r="AH526" s="31"/>
      <c r="AI526" s="31"/>
      <c r="AJ526" s="31"/>
    </row>
    <row r="527" customFormat="false" ht="14.25" hidden="false" customHeight="true" outlineLevel="0" collapsed="false">
      <c r="A527" s="116"/>
      <c r="B527" s="19"/>
      <c r="C527" s="19"/>
      <c r="D527" s="36"/>
      <c r="E527" s="19"/>
      <c r="F527" s="37"/>
      <c r="G527" s="38"/>
      <c r="H527" s="38"/>
      <c r="I527" s="38"/>
      <c r="J527" s="38"/>
      <c r="K527" s="38"/>
      <c r="L527" s="38"/>
      <c r="M527" s="38"/>
      <c r="N527" s="39"/>
      <c r="O527" s="38"/>
      <c r="P527" s="30"/>
      <c r="Q527" s="35"/>
      <c r="R527" s="31"/>
      <c r="S527" s="31"/>
      <c r="T527" s="31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F527" s="31"/>
      <c r="AG527" s="31"/>
      <c r="AH527" s="31"/>
      <c r="AI527" s="31"/>
      <c r="AJ527" s="31"/>
    </row>
    <row r="528" customFormat="false" ht="14.25" hidden="false" customHeight="true" outlineLevel="0" collapsed="false">
      <c r="A528" s="116"/>
      <c r="B528" s="19"/>
      <c r="C528" s="19"/>
      <c r="D528" s="36"/>
      <c r="E528" s="19"/>
      <c r="F528" s="37"/>
      <c r="G528" s="38"/>
      <c r="H528" s="38"/>
      <c r="I528" s="38"/>
      <c r="J528" s="38"/>
      <c r="K528" s="38"/>
      <c r="L528" s="38"/>
      <c r="M528" s="38"/>
      <c r="N528" s="39"/>
      <c r="O528" s="38"/>
      <c r="P528" s="30"/>
      <c r="Q528" s="35"/>
      <c r="R528" s="31"/>
      <c r="S528" s="31"/>
      <c r="T528" s="31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F528" s="31"/>
      <c r="AG528" s="31"/>
      <c r="AH528" s="31"/>
      <c r="AI528" s="31"/>
      <c r="AJ528" s="31"/>
    </row>
    <row r="529" customFormat="false" ht="14.25" hidden="false" customHeight="true" outlineLevel="0" collapsed="false">
      <c r="A529" s="116"/>
      <c r="B529" s="19"/>
      <c r="C529" s="19"/>
      <c r="D529" s="36"/>
      <c r="E529" s="19"/>
      <c r="F529" s="37"/>
      <c r="G529" s="38"/>
      <c r="H529" s="38"/>
      <c r="I529" s="38"/>
      <c r="J529" s="38"/>
      <c r="K529" s="38"/>
      <c r="L529" s="38"/>
      <c r="M529" s="38"/>
      <c r="N529" s="39"/>
      <c r="O529" s="38"/>
      <c r="P529" s="30"/>
      <c r="Q529" s="35"/>
      <c r="R529" s="31"/>
      <c r="S529" s="31"/>
      <c r="T529" s="31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F529" s="31"/>
      <c r="AG529" s="31"/>
      <c r="AH529" s="31"/>
      <c r="AI529" s="31"/>
      <c r="AJ529" s="31"/>
    </row>
    <row r="530" customFormat="false" ht="14.25" hidden="false" customHeight="true" outlineLevel="0" collapsed="false">
      <c r="A530" s="116"/>
      <c r="B530" s="19"/>
      <c r="C530" s="19"/>
      <c r="D530" s="36"/>
      <c r="E530" s="19"/>
      <c r="F530" s="37"/>
      <c r="G530" s="38"/>
      <c r="H530" s="38"/>
      <c r="I530" s="38"/>
      <c r="J530" s="38"/>
      <c r="K530" s="38"/>
      <c r="L530" s="38"/>
      <c r="M530" s="38"/>
      <c r="N530" s="39"/>
      <c r="O530" s="38"/>
      <c r="P530" s="30"/>
      <c r="Q530" s="35"/>
      <c r="R530" s="31"/>
      <c r="S530" s="31"/>
      <c r="T530" s="31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F530" s="31"/>
      <c r="AG530" s="31"/>
      <c r="AH530" s="31"/>
      <c r="AI530" s="31"/>
      <c r="AJ530" s="31"/>
    </row>
    <row r="531" customFormat="false" ht="14.25" hidden="false" customHeight="true" outlineLevel="0" collapsed="false">
      <c r="A531" s="116"/>
      <c r="B531" s="19"/>
      <c r="C531" s="19"/>
      <c r="D531" s="36"/>
      <c r="E531" s="19"/>
      <c r="F531" s="37"/>
      <c r="G531" s="38"/>
      <c r="H531" s="38"/>
      <c r="I531" s="38"/>
      <c r="J531" s="38"/>
      <c r="K531" s="38"/>
      <c r="L531" s="38"/>
      <c r="M531" s="38"/>
      <c r="N531" s="39"/>
      <c r="O531" s="38"/>
      <c r="P531" s="30"/>
      <c r="Q531" s="35"/>
      <c r="R531" s="31"/>
      <c r="S531" s="31"/>
      <c r="T531" s="31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F531" s="31"/>
      <c r="AG531" s="31"/>
      <c r="AH531" s="31"/>
      <c r="AI531" s="31"/>
      <c r="AJ531" s="31"/>
    </row>
    <row r="532" customFormat="false" ht="14.25" hidden="false" customHeight="true" outlineLevel="0" collapsed="false">
      <c r="A532" s="116"/>
      <c r="B532" s="19"/>
      <c r="C532" s="19"/>
      <c r="D532" s="36"/>
      <c r="E532" s="19"/>
      <c r="F532" s="37"/>
      <c r="G532" s="38"/>
      <c r="H532" s="38"/>
      <c r="I532" s="38"/>
      <c r="J532" s="38"/>
      <c r="K532" s="38"/>
      <c r="L532" s="38"/>
      <c r="M532" s="38"/>
      <c r="N532" s="39"/>
      <c r="O532" s="38"/>
      <c r="P532" s="30"/>
      <c r="Q532" s="35"/>
      <c r="R532" s="31"/>
      <c r="S532" s="31"/>
      <c r="T532" s="31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F532" s="31"/>
      <c r="AG532" s="31"/>
      <c r="AH532" s="31"/>
      <c r="AI532" s="31"/>
      <c r="AJ532" s="31"/>
    </row>
    <row r="533" customFormat="false" ht="14.25" hidden="false" customHeight="true" outlineLevel="0" collapsed="false">
      <c r="A533" s="116"/>
      <c r="B533" s="19"/>
      <c r="C533" s="19"/>
      <c r="D533" s="36"/>
      <c r="E533" s="19"/>
      <c r="F533" s="37"/>
      <c r="G533" s="38"/>
      <c r="H533" s="38"/>
      <c r="I533" s="38"/>
      <c r="J533" s="38"/>
      <c r="K533" s="38"/>
      <c r="L533" s="38"/>
      <c r="M533" s="38"/>
      <c r="N533" s="39"/>
      <c r="O533" s="38"/>
      <c r="P533" s="30"/>
      <c r="Q533" s="35"/>
      <c r="R533" s="31"/>
      <c r="S533" s="31"/>
      <c r="T533" s="31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F533" s="31"/>
      <c r="AG533" s="31"/>
      <c r="AH533" s="31"/>
      <c r="AI533" s="31"/>
      <c r="AJ533" s="31"/>
    </row>
    <row r="534" customFormat="false" ht="14.25" hidden="false" customHeight="true" outlineLevel="0" collapsed="false">
      <c r="A534" s="116"/>
      <c r="B534" s="19"/>
      <c r="C534" s="19"/>
      <c r="D534" s="36"/>
      <c r="E534" s="19"/>
      <c r="F534" s="37"/>
      <c r="G534" s="38"/>
      <c r="H534" s="38"/>
      <c r="I534" s="38"/>
      <c r="J534" s="38"/>
      <c r="K534" s="38"/>
      <c r="L534" s="38"/>
      <c r="M534" s="38"/>
      <c r="N534" s="39"/>
      <c r="O534" s="38"/>
      <c r="P534" s="30"/>
      <c r="Q534" s="35"/>
      <c r="R534" s="31"/>
      <c r="S534" s="31"/>
      <c r="T534" s="31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F534" s="31"/>
      <c r="AG534" s="31"/>
      <c r="AH534" s="31"/>
      <c r="AI534" s="31"/>
      <c r="AJ534" s="31"/>
    </row>
    <row r="535" customFormat="false" ht="14.25" hidden="false" customHeight="true" outlineLevel="0" collapsed="false">
      <c r="A535" s="116"/>
      <c r="B535" s="19"/>
      <c r="C535" s="19"/>
      <c r="D535" s="36"/>
      <c r="E535" s="19"/>
      <c r="F535" s="37"/>
      <c r="G535" s="38"/>
      <c r="H535" s="38"/>
      <c r="I535" s="38"/>
      <c r="J535" s="38"/>
      <c r="K535" s="38"/>
      <c r="L535" s="38"/>
      <c r="M535" s="38"/>
      <c r="N535" s="39"/>
      <c r="O535" s="38"/>
      <c r="P535" s="30"/>
      <c r="Q535" s="35"/>
      <c r="R535" s="31"/>
      <c r="S535" s="31"/>
      <c r="T535" s="31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F535" s="31"/>
      <c r="AG535" s="31"/>
      <c r="AH535" s="31"/>
      <c r="AI535" s="31"/>
      <c r="AJ535" s="31"/>
    </row>
    <row r="536" customFormat="false" ht="14.25" hidden="false" customHeight="true" outlineLevel="0" collapsed="false">
      <c r="A536" s="116"/>
      <c r="B536" s="19"/>
      <c r="C536" s="19"/>
      <c r="D536" s="36"/>
      <c r="E536" s="19"/>
      <c r="F536" s="37"/>
      <c r="G536" s="38"/>
      <c r="H536" s="38"/>
      <c r="I536" s="38"/>
      <c r="J536" s="38"/>
      <c r="K536" s="38"/>
      <c r="L536" s="38"/>
      <c r="M536" s="38"/>
      <c r="N536" s="39"/>
      <c r="O536" s="38"/>
      <c r="P536" s="30"/>
      <c r="Q536" s="35"/>
      <c r="R536" s="31"/>
      <c r="S536" s="31"/>
      <c r="T536" s="31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F536" s="31"/>
      <c r="AG536" s="31"/>
      <c r="AH536" s="31"/>
      <c r="AI536" s="31"/>
      <c r="AJ536" s="31"/>
    </row>
    <row r="537" customFormat="false" ht="14.25" hidden="false" customHeight="true" outlineLevel="0" collapsed="false">
      <c r="A537" s="116"/>
      <c r="B537" s="19"/>
      <c r="C537" s="19"/>
      <c r="D537" s="36"/>
      <c r="E537" s="19"/>
      <c r="F537" s="37"/>
      <c r="G537" s="38"/>
      <c r="H537" s="38"/>
      <c r="I537" s="38"/>
      <c r="J537" s="38"/>
      <c r="K537" s="38"/>
      <c r="L537" s="38"/>
      <c r="M537" s="38"/>
      <c r="N537" s="39"/>
      <c r="O537" s="38"/>
      <c r="P537" s="30"/>
      <c r="Q537" s="35"/>
      <c r="R537" s="31"/>
      <c r="S537" s="31"/>
      <c r="T537" s="31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F537" s="31"/>
      <c r="AG537" s="31"/>
      <c r="AH537" s="31"/>
      <c r="AI537" s="31"/>
      <c r="AJ537" s="31"/>
    </row>
    <row r="538" customFormat="false" ht="14.25" hidden="false" customHeight="true" outlineLevel="0" collapsed="false">
      <c r="A538" s="116"/>
      <c r="B538" s="19"/>
      <c r="C538" s="19"/>
      <c r="D538" s="36"/>
      <c r="E538" s="19"/>
      <c r="F538" s="37"/>
      <c r="G538" s="38"/>
      <c r="H538" s="38"/>
      <c r="I538" s="38"/>
      <c r="J538" s="38"/>
      <c r="K538" s="38"/>
      <c r="L538" s="38"/>
      <c r="M538" s="38"/>
      <c r="N538" s="39"/>
      <c r="O538" s="38"/>
      <c r="P538" s="30"/>
      <c r="Q538" s="35"/>
      <c r="R538" s="31"/>
      <c r="S538" s="31"/>
      <c r="T538" s="31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F538" s="31"/>
      <c r="AG538" s="31"/>
      <c r="AH538" s="31"/>
      <c r="AI538" s="31"/>
      <c r="AJ538" s="31"/>
    </row>
    <row r="539" customFormat="false" ht="14.25" hidden="false" customHeight="true" outlineLevel="0" collapsed="false">
      <c r="A539" s="116"/>
      <c r="B539" s="19"/>
      <c r="C539" s="19"/>
      <c r="D539" s="36"/>
      <c r="E539" s="19"/>
      <c r="F539" s="37"/>
      <c r="G539" s="38"/>
      <c r="H539" s="38"/>
      <c r="I539" s="38"/>
      <c r="J539" s="38"/>
      <c r="K539" s="38"/>
      <c r="L539" s="38"/>
      <c r="M539" s="38"/>
      <c r="N539" s="39"/>
      <c r="O539" s="38"/>
      <c r="P539" s="30"/>
      <c r="Q539" s="35"/>
      <c r="R539" s="31"/>
      <c r="S539" s="31"/>
      <c r="T539" s="31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F539" s="31"/>
      <c r="AG539" s="31"/>
      <c r="AH539" s="31"/>
      <c r="AI539" s="31"/>
      <c r="AJ539" s="31"/>
    </row>
    <row r="540" customFormat="false" ht="14.25" hidden="false" customHeight="true" outlineLevel="0" collapsed="false">
      <c r="A540" s="116"/>
      <c r="B540" s="19"/>
      <c r="C540" s="19"/>
      <c r="D540" s="36"/>
      <c r="E540" s="19"/>
      <c r="F540" s="37"/>
      <c r="G540" s="38"/>
      <c r="H540" s="38"/>
      <c r="I540" s="38"/>
      <c r="J540" s="38"/>
      <c r="K540" s="38"/>
      <c r="L540" s="38"/>
      <c r="M540" s="38"/>
      <c r="N540" s="39"/>
      <c r="O540" s="38"/>
      <c r="P540" s="30"/>
      <c r="Q540" s="35"/>
      <c r="R540" s="31"/>
      <c r="S540" s="31"/>
      <c r="T540" s="31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F540" s="31"/>
      <c r="AG540" s="31"/>
      <c r="AH540" s="31"/>
      <c r="AI540" s="31"/>
      <c r="AJ540" s="31"/>
    </row>
    <row r="541" customFormat="false" ht="14.25" hidden="false" customHeight="true" outlineLevel="0" collapsed="false">
      <c r="A541" s="116"/>
      <c r="B541" s="19"/>
      <c r="C541" s="19"/>
      <c r="D541" s="36"/>
      <c r="E541" s="19"/>
      <c r="F541" s="37"/>
      <c r="G541" s="38"/>
      <c r="H541" s="38"/>
      <c r="I541" s="38"/>
      <c r="J541" s="38"/>
      <c r="K541" s="38"/>
      <c r="L541" s="38"/>
      <c r="M541" s="38"/>
      <c r="N541" s="39"/>
      <c r="O541" s="38"/>
      <c r="P541" s="30"/>
      <c r="Q541" s="35"/>
      <c r="R541" s="31"/>
      <c r="S541" s="31"/>
      <c r="T541" s="31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F541" s="31"/>
      <c r="AG541" s="31"/>
      <c r="AH541" s="31"/>
      <c r="AI541" s="31"/>
      <c r="AJ541" s="31"/>
    </row>
    <row r="542" customFormat="false" ht="14.25" hidden="false" customHeight="true" outlineLevel="0" collapsed="false">
      <c r="A542" s="116"/>
      <c r="B542" s="19"/>
      <c r="C542" s="19"/>
      <c r="D542" s="36"/>
      <c r="E542" s="19"/>
      <c r="F542" s="37"/>
      <c r="G542" s="38"/>
      <c r="H542" s="38"/>
      <c r="I542" s="38"/>
      <c r="J542" s="38"/>
      <c r="K542" s="38"/>
      <c r="L542" s="38"/>
      <c r="M542" s="38"/>
      <c r="N542" s="39"/>
      <c r="O542" s="38"/>
      <c r="P542" s="30"/>
      <c r="Q542" s="35"/>
      <c r="R542" s="31"/>
      <c r="S542" s="31"/>
      <c r="T542" s="31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F542" s="31"/>
      <c r="AG542" s="31"/>
      <c r="AH542" s="31"/>
      <c r="AI542" s="31"/>
      <c r="AJ542" s="31"/>
    </row>
    <row r="543" customFormat="false" ht="14.25" hidden="false" customHeight="true" outlineLevel="0" collapsed="false">
      <c r="A543" s="116"/>
      <c r="B543" s="19"/>
      <c r="C543" s="19"/>
      <c r="D543" s="36"/>
      <c r="E543" s="19"/>
      <c r="F543" s="37"/>
      <c r="G543" s="38"/>
      <c r="H543" s="38"/>
      <c r="I543" s="38"/>
      <c r="J543" s="38"/>
      <c r="K543" s="38"/>
      <c r="L543" s="38"/>
      <c r="M543" s="38"/>
      <c r="N543" s="39"/>
      <c r="O543" s="38"/>
      <c r="P543" s="30"/>
      <c r="Q543" s="35"/>
      <c r="R543" s="31"/>
      <c r="S543" s="31"/>
      <c r="T543" s="31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F543" s="31"/>
      <c r="AG543" s="31"/>
      <c r="AH543" s="31"/>
      <c r="AI543" s="31"/>
      <c r="AJ543" s="31"/>
    </row>
    <row r="544" customFormat="false" ht="14.25" hidden="false" customHeight="true" outlineLevel="0" collapsed="false">
      <c r="A544" s="116"/>
      <c r="B544" s="19"/>
      <c r="C544" s="19"/>
      <c r="D544" s="36"/>
      <c r="E544" s="19"/>
      <c r="F544" s="37"/>
      <c r="G544" s="38"/>
      <c r="H544" s="38"/>
      <c r="I544" s="38"/>
      <c r="J544" s="38"/>
      <c r="K544" s="38"/>
      <c r="L544" s="38"/>
      <c r="M544" s="38"/>
      <c r="N544" s="39"/>
      <c r="O544" s="38"/>
      <c r="P544" s="30"/>
      <c r="Q544" s="35"/>
      <c r="R544" s="31"/>
      <c r="S544" s="31"/>
      <c r="T544" s="31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F544" s="31"/>
      <c r="AG544" s="31"/>
      <c r="AH544" s="31"/>
      <c r="AI544" s="31"/>
      <c r="AJ544" s="31"/>
    </row>
    <row r="545" customFormat="false" ht="14.25" hidden="false" customHeight="true" outlineLevel="0" collapsed="false">
      <c r="A545" s="116"/>
      <c r="B545" s="19"/>
      <c r="C545" s="19"/>
      <c r="D545" s="36"/>
      <c r="E545" s="19"/>
      <c r="F545" s="37"/>
      <c r="G545" s="38"/>
      <c r="H545" s="38"/>
      <c r="I545" s="38"/>
      <c r="J545" s="38"/>
      <c r="K545" s="38"/>
      <c r="L545" s="38"/>
      <c r="M545" s="38"/>
      <c r="N545" s="39"/>
      <c r="O545" s="38"/>
      <c r="P545" s="30"/>
      <c r="Q545" s="35"/>
      <c r="R545" s="31"/>
      <c r="S545" s="31"/>
      <c r="T545" s="31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F545" s="31"/>
      <c r="AG545" s="31"/>
      <c r="AH545" s="31"/>
      <c r="AI545" s="31"/>
      <c r="AJ545" s="31"/>
    </row>
    <row r="546" customFormat="false" ht="14.25" hidden="false" customHeight="true" outlineLevel="0" collapsed="false">
      <c r="A546" s="116"/>
      <c r="B546" s="19"/>
      <c r="C546" s="19"/>
      <c r="D546" s="36"/>
      <c r="E546" s="19"/>
      <c r="F546" s="37"/>
      <c r="G546" s="38"/>
      <c r="H546" s="38"/>
      <c r="I546" s="38"/>
      <c r="J546" s="38"/>
      <c r="K546" s="38"/>
      <c r="L546" s="38"/>
      <c r="M546" s="38"/>
      <c r="N546" s="39"/>
      <c r="O546" s="38"/>
      <c r="P546" s="30"/>
      <c r="Q546" s="35"/>
      <c r="R546" s="31"/>
      <c r="S546" s="31"/>
      <c r="T546" s="31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F546" s="31"/>
      <c r="AG546" s="31"/>
      <c r="AH546" s="31"/>
      <c r="AI546" s="31"/>
      <c r="AJ546" s="31"/>
    </row>
    <row r="547" customFormat="false" ht="14.25" hidden="false" customHeight="true" outlineLevel="0" collapsed="false">
      <c r="A547" s="116"/>
      <c r="B547" s="19"/>
      <c r="C547" s="19"/>
      <c r="D547" s="36"/>
      <c r="E547" s="19"/>
      <c r="F547" s="37"/>
      <c r="G547" s="38"/>
      <c r="H547" s="38"/>
      <c r="I547" s="38"/>
      <c r="J547" s="38"/>
      <c r="K547" s="38"/>
      <c r="L547" s="38"/>
      <c r="M547" s="38"/>
      <c r="N547" s="39"/>
      <c r="O547" s="38"/>
      <c r="P547" s="30"/>
      <c r="Q547" s="35"/>
      <c r="R547" s="31"/>
      <c r="S547" s="31"/>
      <c r="T547" s="31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F547" s="31"/>
      <c r="AG547" s="31"/>
      <c r="AH547" s="31"/>
      <c r="AI547" s="31"/>
      <c r="AJ547" s="31"/>
    </row>
    <row r="548" customFormat="false" ht="14.25" hidden="false" customHeight="true" outlineLevel="0" collapsed="false">
      <c r="A548" s="116"/>
      <c r="B548" s="19"/>
      <c r="C548" s="19"/>
      <c r="D548" s="36"/>
      <c r="E548" s="19"/>
      <c r="F548" s="37"/>
      <c r="G548" s="38"/>
      <c r="H548" s="38"/>
      <c r="I548" s="38"/>
      <c r="J548" s="38"/>
      <c r="K548" s="38"/>
      <c r="L548" s="38"/>
      <c r="M548" s="38"/>
      <c r="N548" s="39"/>
      <c r="O548" s="38"/>
      <c r="P548" s="30"/>
      <c r="Q548" s="35"/>
      <c r="R548" s="31"/>
      <c r="S548" s="31"/>
      <c r="T548" s="31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F548" s="31"/>
      <c r="AG548" s="31"/>
      <c r="AH548" s="31"/>
      <c r="AI548" s="31"/>
      <c r="AJ548" s="31"/>
    </row>
    <row r="549" customFormat="false" ht="14.25" hidden="false" customHeight="true" outlineLevel="0" collapsed="false">
      <c r="A549" s="116"/>
      <c r="B549" s="19"/>
      <c r="C549" s="19"/>
      <c r="D549" s="36"/>
      <c r="E549" s="19"/>
      <c r="F549" s="37"/>
      <c r="G549" s="38"/>
      <c r="H549" s="38"/>
      <c r="I549" s="38"/>
      <c r="J549" s="38"/>
      <c r="K549" s="38"/>
      <c r="L549" s="38"/>
      <c r="M549" s="38"/>
      <c r="N549" s="39"/>
      <c r="O549" s="38"/>
      <c r="P549" s="30"/>
      <c r="Q549" s="35"/>
      <c r="R549" s="31"/>
      <c r="S549" s="31"/>
      <c r="T549" s="31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F549" s="31"/>
      <c r="AG549" s="31"/>
      <c r="AH549" s="31"/>
      <c r="AI549" s="31"/>
      <c r="AJ549" s="31"/>
    </row>
    <row r="550" customFormat="false" ht="14.25" hidden="false" customHeight="true" outlineLevel="0" collapsed="false">
      <c r="A550" s="116"/>
      <c r="B550" s="19"/>
      <c r="C550" s="19"/>
      <c r="D550" s="36"/>
      <c r="E550" s="19"/>
      <c r="F550" s="37"/>
      <c r="G550" s="38"/>
      <c r="H550" s="38"/>
      <c r="I550" s="38"/>
      <c r="J550" s="38"/>
      <c r="K550" s="38"/>
      <c r="L550" s="38"/>
      <c r="M550" s="38"/>
      <c r="N550" s="39"/>
      <c r="O550" s="38"/>
      <c r="P550" s="30"/>
      <c r="Q550" s="35"/>
      <c r="R550" s="31"/>
      <c r="S550" s="31"/>
      <c r="T550" s="31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F550" s="31"/>
      <c r="AG550" s="31"/>
      <c r="AH550" s="31"/>
      <c r="AI550" s="31"/>
      <c r="AJ550" s="31"/>
    </row>
    <row r="551" customFormat="false" ht="14.25" hidden="false" customHeight="true" outlineLevel="0" collapsed="false">
      <c r="A551" s="116"/>
      <c r="B551" s="19"/>
      <c r="C551" s="19"/>
      <c r="D551" s="36"/>
      <c r="E551" s="19"/>
      <c r="F551" s="37"/>
      <c r="G551" s="38"/>
      <c r="H551" s="38"/>
      <c r="I551" s="38"/>
      <c r="J551" s="38"/>
      <c r="K551" s="38"/>
      <c r="L551" s="38"/>
      <c r="M551" s="38"/>
      <c r="N551" s="39"/>
      <c r="O551" s="38"/>
      <c r="P551" s="30"/>
      <c r="Q551" s="35"/>
      <c r="R551" s="31"/>
      <c r="S551" s="31"/>
      <c r="T551" s="31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F551" s="31"/>
      <c r="AG551" s="31"/>
      <c r="AH551" s="31"/>
      <c r="AI551" s="31"/>
      <c r="AJ551" s="31"/>
    </row>
    <row r="552" customFormat="false" ht="14.25" hidden="false" customHeight="true" outlineLevel="0" collapsed="false">
      <c r="A552" s="116"/>
      <c r="B552" s="19"/>
      <c r="C552" s="19"/>
      <c r="D552" s="36"/>
      <c r="E552" s="19"/>
      <c r="F552" s="37"/>
      <c r="G552" s="38"/>
      <c r="H552" s="38"/>
      <c r="I552" s="38"/>
      <c r="J552" s="38"/>
      <c r="K552" s="38"/>
      <c r="L552" s="38"/>
      <c r="M552" s="38"/>
      <c r="N552" s="39"/>
      <c r="O552" s="38"/>
      <c r="P552" s="30"/>
      <c r="Q552" s="35"/>
      <c r="R552" s="31"/>
      <c r="S552" s="31"/>
      <c r="T552" s="31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F552" s="31"/>
      <c r="AG552" s="31"/>
      <c r="AH552" s="31"/>
      <c r="AI552" s="31"/>
      <c r="AJ552" s="31"/>
    </row>
    <row r="553" customFormat="false" ht="14.25" hidden="false" customHeight="true" outlineLevel="0" collapsed="false">
      <c r="A553" s="116"/>
      <c r="B553" s="19"/>
      <c r="C553" s="19"/>
      <c r="D553" s="36"/>
      <c r="E553" s="19"/>
      <c r="F553" s="37"/>
      <c r="G553" s="38"/>
      <c r="H553" s="38"/>
      <c r="I553" s="38"/>
      <c r="J553" s="38"/>
      <c r="K553" s="38"/>
      <c r="L553" s="38"/>
      <c r="M553" s="38"/>
      <c r="N553" s="39"/>
      <c r="O553" s="38"/>
      <c r="P553" s="30"/>
      <c r="Q553" s="35"/>
      <c r="R553" s="31"/>
      <c r="S553" s="31"/>
      <c r="T553" s="31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F553" s="31"/>
      <c r="AG553" s="31"/>
      <c r="AH553" s="31"/>
      <c r="AI553" s="31"/>
      <c r="AJ553" s="31"/>
    </row>
    <row r="554" customFormat="false" ht="14.25" hidden="false" customHeight="true" outlineLevel="0" collapsed="false">
      <c r="A554" s="116"/>
      <c r="B554" s="19"/>
      <c r="C554" s="19"/>
      <c r="D554" s="36"/>
      <c r="E554" s="19"/>
      <c r="F554" s="37"/>
      <c r="G554" s="38"/>
      <c r="H554" s="38"/>
      <c r="I554" s="38"/>
      <c r="J554" s="38"/>
      <c r="K554" s="38"/>
      <c r="L554" s="38"/>
      <c r="M554" s="38"/>
      <c r="N554" s="39"/>
      <c r="O554" s="38"/>
      <c r="P554" s="30"/>
      <c r="Q554" s="35"/>
      <c r="R554" s="31"/>
      <c r="S554" s="31"/>
      <c r="T554" s="31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F554" s="31"/>
      <c r="AG554" s="31"/>
      <c r="AH554" s="31"/>
      <c r="AI554" s="31"/>
      <c r="AJ554" s="31"/>
    </row>
    <row r="555" customFormat="false" ht="14.25" hidden="false" customHeight="true" outlineLevel="0" collapsed="false">
      <c r="A555" s="116"/>
      <c r="B555" s="19"/>
      <c r="C555" s="19"/>
      <c r="D555" s="36"/>
      <c r="E555" s="19"/>
      <c r="F555" s="37"/>
      <c r="G555" s="38"/>
      <c r="H555" s="38"/>
      <c r="I555" s="38"/>
      <c r="J555" s="38"/>
      <c r="K555" s="38"/>
      <c r="L555" s="38"/>
      <c r="M555" s="38"/>
      <c r="N555" s="39"/>
      <c r="O555" s="38"/>
      <c r="P555" s="30"/>
      <c r="Q555" s="35"/>
      <c r="R555" s="31"/>
      <c r="S555" s="31"/>
      <c r="T555" s="31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F555" s="31"/>
      <c r="AG555" s="31"/>
      <c r="AH555" s="31"/>
      <c r="AI555" s="31"/>
      <c r="AJ555" s="31"/>
    </row>
    <row r="556" customFormat="false" ht="14.25" hidden="false" customHeight="true" outlineLevel="0" collapsed="false">
      <c r="A556" s="116"/>
      <c r="B556" s="19"/>
      <c r="C556" s="19"/>
      <c r="D556" s="36"/>
      <c r="E556" s="19"/>
      <c r="F556" s="37"/>
      <c r="G556" s="38"/>
      <c r="H556" s="38"/>
      <c r="I556" s="38"/>
      <c r="J556" s="38"/>
      <c r="K556" s="38"/>
      <c r="L556" s="38"/>
      <c r="M556" s="38"/>
      <c r="N556" s="39"/>
      <c r="O556" s="38"/>
      <c r="P556" s="30"/>
      <c r="Q556" s="35"/>
      <c r="R556" s="31"/>
      <c r="S556" s="31"/>
      <c r="T556" s="31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F556" s="31"/>
      <c r="AG556" s="31"/>
      <c r="AH556" s="31"/>
      <c r="AI556" s="31"/>
      <c r="AJ556" s="31"/>
    </row>
    <row r="557" customFormat="false" ht="14.25" hidden="false" customHeight="true" outlineLevel="0" collapsed="false">
      <c r="A557" s="116"/>
      <c r="B557" s="19"/>
      <c r="C557" s="19"/>
      <c r="D557" s="36"/>
      <c r="E557" s="19"/>
      <c r="F557" s="37"/>
      <c r="G557" s="38"/>
      <c r="H557" s="38"/>
      <c r="I557" s="38"/>
      <c r="J557" s="38"/>
      <c r="K557" s="38"/>
      <c r="L557" s="38"/>
      <c r="M557" s="38"/>
      <c r="N557" s="39"/>
      <c r="O557" s="38"/>
      <c r="P557" s="30"/>
      <c r="Q557" s="35"/>
      <c r="R557" s="31"/>
      <c r="S557" s="31"/>
      <c r="T557" s="31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F557" s="31"/>
      <c r="AG557" s="31"/>
      <c r="AH557" s="31"/>
      <c r="AI557" s="31"/>
      <c r="AJ557" s="31"/>
    </row>
    <row r="558" customFormat="false" ht="14.25" hidden="false" customHeight="true" outlineLevel="0" collapsed="false">
      <c r="A558" s="116"/>
      <c r="B558" s="19"/>
      <c r="C558" s="19"/>
      <c r="D558" s="36"/>
      <c r="E558" s="19"/>
      <c r="F558" s="37"/>
      <c r="G558" s="38"/>
      <c r="H558" s="38"/>
      <c r="I558" s="38"/>
      <c r="J558" s="38"/>
      <c r="K558" s="38"/>
      <c r="L558" s="38"/>
      <c r="M558" s="38"/>
      <c r="N558" s="39"/>
      <c r="O558" s="38"/>
      <c r="P558" s="30"/>
      <c r="Q558" s="35"/>
      <c r="R558" s="31"/>
      <c r="S558" s="31"/>
      <c r="T558" s="31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F558" s="31"/>
      <c r="AG558" s="31"/>
      <c r="AH558" s="31"/>
      <c r="AI558" s="31"/>
      <c r="AJ558" s="31"/>
    </row>
    <row r="559" customFormat="false" ht="14.25" hidden="false" customHeight="true" outlineLevel="0" collapsed="false">
      <c r="A559" s="116"/>
      <c r="B559" s="19"/>
      <c r="C559" s="19"/>
      <c r="D559" s="36"/>
      <c r="E559" s="19"/>
      <c r="F559" s="37"/>
      <c r="G559" s="38"/>
      <c r="H559" s="38"/>
      <c r="I559" s="38"/>
      <c r="J559" s="38"/>
      <c r="K559" s="38"/>
      <c r="L559" s="38"/>
      <c r="M559" s="38"/>
      <c r="N559" s="39"/>
      <c r="O559" s="38"/>
      <c r="P559" s="30"/>
      <c r="Q559" s="35"/>
      <c r="R559" s="31"/>
      <c r="S559" s="31"/>
      <c r="T559" s="31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F559" s="31"/>
      <c r="AG559" s="31"/>
      <c r="AH559" s="31"/>
      <c r="AI559" s="31"/>
      <c r="AJ559" s="31"/>
    </row>
    <row r="560" customFormat="false" ht="14.25" hidden="false" customHeight="true" outlineLevel="0" collapsed="false">
      <c r="A560" s="116"/>
      <c r="B560" s="19"/>
      <c r="C560" s="19"/>
      <c r="D560" s="36"/>
      <c r="E560" s="19"/>
      <c r="F560" s="37"/>
      <c r="G560" s="38"/>
      <c r="H560" s="38"/>
      <c r="I560" s="38"/>
      <c r="J560" s="38"/>
      <c r="K560" s="38"/>
      <c r="L560" s="38"/>
      <c r="M560" s="38"/>
      <c r="N560" s="39"/>
      <c r="O560" s="38"/>
      <c r="P560" s="30"/>
      <c r="Q560" s="35"/>
      <c r="R560" s="31"/>
      <c r="S560" s="31"/>
      <c r="T560" s="31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F560" s="31"/>
      <c r="AG560" s="31"/>
      <c r="AH560" s="31"/>
      <c r="AI560" s="31"/>
      <c r="AJ560" s="31"/>
    </row>
    <row r="561" customFormat="false" ht="14.25" hidden="false" customHeight="true" outlineLevel="0" collapsed="false">
      <c r="A561" s="116"/>
      <c r="B561" s="19"/>
      <c r="C561" s="19"/>
      <c r="D561" s="36"/>
      <c r="E561" s="19"/>
      <c r="F561" s="37"/>
      <c r="G561" s="38"/>
      <c r="H561" s="38"/>
      <c r="I561" s="38"/>
      <c r="J561" s="38"/>
      <c r="K561" s="38"/>
      <c r="L561" s="38"/>
      <c r="M561" s="38"/>
      <c r="N561" s="39"/>
      <c r="O561" s="38"/>
      <c r="P561" s="30"/>
      <c r="Q561" s="35"/>
      <c r="R561" s="31"/>
      <c r="S561" s="31"/>
      <c r="T561" s="31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F561" s="31"/>
      <c r="AG561" s="31"/>
      <c r="AH561" s="31"/>
      <c r="AI561" s="31"/>
      <c r="AJ561" s="31"/>
    </row>
    <row r="562" customFormat="false" ht="14.25" hidden="false" customHeight="true" outlineLevel="0" collapsed="false">
      <c r="A562" s="116"/>
      <c r="B562" s="19"/>
      <c r="C562" s="19"/>
      <c r="D562" s="36"/>
      <c r="E562" s="19"/>
      <c r="F562" s="37"/>
      <c r="G562" s="38"/>
      <c r="H562" s="38"/>
      <c r="I562" s="38"/>
      <c r="J562" s="38"/>
      <c r="K562" s="38"/>
      <c r="L562" s="38"/>
      <c r="M562" s="38"/>
      <c r="N562" s="39"/>
      <c r="O562" s="38"/>
      <c r="P562" s="30"/>
      <c r="Q562" s="35"/>
      <c r="R562" s="31"/>
      <c r="S562" s="31"/>
      <c r="T562" s="31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F562" s="31"/>
      <c r="AG562" s="31"/>
      <c r="AH562" s="31"/>
      <c r="AI562" s="31"/>
      <c r="AJ562" s="31"/>
    </row>
    <row r="563" customFormat="false" ht="14.25" hidden="false" customHeight="true" outlineLevel="0" collapsed="false">
      <c r="A563" s="116"/>
      <c r="B563" s="19"/>
      <c r="C563" s="19"/>
      <c r="D563" s="36"/>
      <c r="E563" s="19"/>
      <c r="F563" s="37"/>
      <c r="G563" s="38"/>
      <c r="H563" s="38"/>
      <c r="I563" s="38"/>
      <c r="J563" s="38"/>
      <c r="K563" s="38"/>
      <c r="L563" s="38"/>
      <c r="M563" s="38"/>
      <c r="N563" s="39"/>
      <c r="O563" s="38"/>
      <c r="P563" s="30"/>
      <c r="Q563" s="35"/>
      <c r="R563" s="31"/>
      <c r="S563" s="31"/>
      <c r="T563" s="31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F563" s="31"/>
      <c r="AG563" s="31"/>
      <c r="AH563" s="31"/>
      <c r="AI563" s="31"/>
      <c r="AJ563" s="31"/>
    </row>
    <row r="564" customFormat="false" ht="14.25" hidden="false" customHeight="true" outlineLevel="0" collapsed="false">
      <c r="A564" s="116"/>
      <c r="B564" s="19"/>
      <c r="C564" s="19"/>
      <c r="D564" s="36"/>
      <c r="E564" s="19"/>
      <c r="F564" s="37"/>
      <c r="G564" s="38"/>
      <c r="H564" s="38"/>
      <c r="I564" s="38"/>
      <c r="J564" s="38"/>
      <c r="K564" s="38"/>
      <c r="L564" s="38"/>
      <c r="M564" s="38"/>
      <c r="N564" s="39"/>
      <c r="O564" s="38"/>
      <c r="P564" s="30"/>
      <c r="Q564" s="35"/>
      <c r="R564" s="31"/>
      <c r="S564" s="31"/>
      <c r="T564" s="31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F564" s="31"/>
      <c r="AG564" s="31"/>
      <c r="AH564" s="31"/>
      <c r="AI564" s="31"/>
      <c r="AJ564" s="31"/>
    </row>
    <row r="565" customFormat="false" ht="14.25" hidden="false" customHeight="true" outlineLevel="0" collapsed="false">
      <c r="A565" s="116"/>
      <c r="B565" s="19"/>
      <c r="C565" s="19"/>
      <c r="D565" s="36"/>
      <c r="E565" s="19"/>
      <c r="F565" s="37"/>
      <c r="G565" s="38"/>
      <c r="H565" s="38"/>
      <c r="I565" s="38"/>
      <c r="J565" s="38"/>
      <c r="K565" s="38"/>
      <c r="L565" s="38"/>
      <c r="M565" s="38"/>
      <c r="N565" s="39"/>
      <c r="O565" s="38"/>
      <c r="P565" s="30"/>
      <c r="Q565" s="35"/>
      <c r="R565" s="31"/>
      <c r="S565" s="31"/>
      <c r="T565" s="31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F565" s="31"/>
      <c r="AG565" s="31"/>
      <c r="AH565" s="31"/>
      <c r="AI565" s="31"/>
      <c r="AJ565" s="31"/>
    </row>
    <row r="566" customFormat="false" ht="14.25" hidden="false" customHeight="true" outlineLevel="0" collapsed="false">
      <c r="A566" s="116"/>
      <c r="B566" s="19"/>
      <c r="C566" s="19"/>
      <c r="D566" s="36"/>
      <c r="E566" s="19"/>
      <c r="F566" s="37"/>
      <c r="G566" s="38"/>
      <c r="H566" s="38"/>
      <c r="I566" s="38"/>
      <c r="J566" s="38"/>
      <c r="K566" s="38"/>
      <c r="L566" s="38"/>
      <c r="M566" s="38"/>
      <c r="N566" s="39"/>
      <c r="O566" s="38"/>
      <c r="P566" s="30"/>
      <c r="Q566" s="35"/>
      <c r="R566" s="31"/>
      <c r="S566" s="31"/>
      <c r="T566" s="31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F566" s="31"/>
      <c r="AG566" s="31"/>
      <c r="AH566" s="31"/>
      <c r="AI566" s="31"/>
      <c r="AJ566" s="31"/>
    </row>
    <row r="567" customFormat="false" ht="14.25" hidden="false" customHeight="true" outlineLevel="0" collapsed="false">
      <c r="A567" s="116"/>
      <c r="B567" s="19"/>
      <c r="C567" s="19"/>
      <c r="D567" s="36"/>
      <c r="E567" s="19"/>
      <c r="F567" s="37"/>
      <c r="G567" s="38"/>
      <c r="H567" s="38"/>
      <c r="I567" s="38"/>
      <c r="J567" s="38"/>
      <c r="K567" s="38"/>
      <c r="L567" s="38"/>
      <c r="M567" s="38"/>
      <c r="N567" s="39"/>
      <c r="O567" s="38"/>
      <c r="P567" s="30"/>
      <c r="Q567" s="35"/>
      <c r="R567" s="31"/>
      <c r="S567" s="31"/>
      <c r="T567" s="31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F567" s="31"/>
      <c r="AG567" s="31"/>
      <c r="AH567" s="31"/>
      <c r="AI567" s="31"/>
      <c r="AJ567" s="31"/>
    </row>
    <row r="568" customFormat="false" ht="14.25" hidden="false" customHeight="true" outlineLevel="0" collapsed="false">
      <c r="A568" s="116"/>
      <c r="B568" s="19"/>
      <c r="C568" s="19"/>
      <c r="D568" s="36"/>
      <c r="E568" s="19"/>
      <c r="F568" s="37"/>
      <c r="G568" s="38"/>
      <c r="H568" s="38"/>
      <c r="I568" s="38"/>
      <c r="J568" s="38"/>
      <c r="K568" s="38"/>
      <c r="L568" s="38"/>
      <c r="M568" s="38"/>
      <c r="N568" s="39"/>
      <c r="O568" s="38"/>
      <c r="P568" s="30"/>
      <c r="Q568" s="35"/>
      <c r="R568" s="31"/>
      <c r="S568" s="31"/>
      <c r="T568" s="31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F568" s="31"/>
      <c r="AG568" s="31"/>
      <c r="AH568" s="31"/>
      <c r="AI568" s="31"/>
      <c r="AJ568" s="31"/>
    </row>
    <row r="569" customFormat="false" ht="14.25" hidden="false" customHeight="true" outlineLevel="0" collapsed="false">
      <c r="A569" s="116"/>
      <c r="B569" s="19"/>
      <c r="C569" s="19"/>
      <c r="D569" s="36"/>
      <c r="E569" s="19"/>
      <c r="F569" s="37"/>
      <c r="G569" s="38"/>
      <c r="H569" s="38"/>
      <c r="I569" s="38"/>
      <c r="J569" s="38"/>
      <c r="K569" s="38"/>
      <c r="L569" s="38"/>
      <c r="M569" s="38"/>
      <c r="N569" s="39"/>
      <c r="O569" s="38"/>
      <c r="P569" s="30"/>
      <c r="Q569" s="35"/>
      <c r="R569" s="31"/>
      <c r="S569" s="31"/>
      <c r="T569" s="31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F569" s="31"/>
      <c r="AG569" s="31"/>
      <c r="AH569" s="31"/>
      <c r="AI569" s="31"/>
      <c r="AJ569" s="31"/>
    </row>
    <row r="570" customFormat="false" ht="14.25" hidden="false" customHeight="true" outlineLevel="0" collapsed="false">
      <c r="A570" s="116"/>
      <c r="B570" s="19"/>
      <c r="C570" s="19"/>
      <c r="D570" s="36"/>
      <c r="E570" s="19"/>
      <c r="F570" s="37"/>
      <c r="G570" s="38"/>
      <c r="H570" s="38"/>
      <c r="I570" s="38"/>
      <c r="J570" s="38"/>
      <c r="K570" s="38"/>
      <c r="L570" s="38"/>
      <c r="M570" s="38"/>
      <c r="N570" s="39"/>
      <c r="O570" s="38"/>
      <c r="P570" s="30"/>
      <c r="Q570" s="35"/>
      <c r="R570" s="31"/>
      <c r="S570" s="31"/>
      <c r="T570" s="31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F570" s="31"/>
      <c r="AG570" s="31"/>
      <c r="AH570" s="31"/>
      <c r="AI570" s="31"/>
      <c r="AJ570" s="31"/>
    </row>
    <row r="571" customFormat="false" ht="14.25" hidden="false" customHeight="true" outlineLevel="0" collapsed="false">
      <c r="A571" s="116"/>
      <c r="B571" s="19"/>
      <c r="C571" s="19"/>
      <c r="D571" s="36"/>
      <c r="E571" s="19"/>
      <c r="F571" s="37"/>
      <c r="G571" s="38"/>
      <c r="H571" s="38"/>
      <c r="I571" s="38"/>
      <c r="J571" s="38"/>
      <c r="K571" s="38"/>
      <c r="L571" s="38"/>
      <c r="M571" s="38"/>
      <c r="N571" s="39"/>
      <c r="O571" s="38"/>
      <c r="P571" s="30"/>
      <c r="Q571" s="35"/>
      <c r="R571" s="31"/>
      <c r="S571" s="31"/>
      <c r="T571" s="31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F571" s="31"/>
      <c r="AG571" s="31"/>
      <c r="AH571" s="31"/>
      <c r="AI571" s="31"/>
      <c r="AJ571" s="31"/>
    </row>
    <row r="572" customFormat="false" ht="14.25" hidden="false" customHeight="true" outlineLevel="0" collapsed="false">
      <c r="A572" s="116"/>
      <c r="B572" s="19"/>
      <c r="C572" s="19"/>
      <c r="D572" s="36"/>
      <c r="E572" s="19"/>
      <c r="F572" s="37"/>
      <c r="G572" s="38"/>
      <c r="H572" s="38"/>
      <c r="I572" s="38"/>
      <c r="J572" s="38"/>
      <c r="K572" s="38"/>
      <c r="L572" s="38"/>
      <c r="M572" s="38"/>
      <c r="N572" s="39"/>
      <c r="O572" s="38"/>
      <c r="P572" s="30"/>
      <c r="Q572" s="35"/>
      <c r="R572" s="31"/>
      <c r="S572" s="31"/>
      <c r="T572" s="31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F572" s="31"/>
      <c r="AG572" s="31"/>
      <c r="AH572" s="31"/>
      <c r="AI572" s="31"/>
      <c r="AJ572" s="31"/>
    </row>
    <row r="573" customFormat="false" ht="14.25" hidden="false" customHeight="true" outlineLevel="0" collapsed="false">
      <c r="A573" s="116"/>
      <c r="B573" s="19"/>
      <c r="C573" s="19"/>
      <c r="D573" s="36"/>
      <c r="E573" s="19"/>
      <c r="F573" s="37"/>
      <c r="G573" s="38"/>
      <c r="H573" s="38"/>
      <c r="I573" s="38"/>
      <c r="J573" s="38"/>
      <c r="K573" s="38"/>
      <c r="L573" s="38"/>
      <c r="M573" s="38"/>
      <c r="N573" s="39"/>
      <c r="O573" s="38"/>
      <c r="P573" s="30"/>
      <c r="Q573" s="35"/>
      <c r="R573" s="31"/>
      <c r="S573" s="31"/>
      <c r="T573" s="31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F573" s="31"/>
      <c r="AG573" s="31"/>
      <c r="AH573" s="31"/>
      <c r="AI573" s="31"/>
      <c r="AJ573" s="31"/>
    </row>
    <row r="574" customFormat="false" ht="14.25" hidden="false" customHeight="true" outlineLevel="0" collapsed="false">
      <c r="A574" s="116"/>
      <c r="B574" s="19"/>
      <c r="C574" s="19"/>
      <c r="D574" s="36"/>
      <c r="E574" s="19"/>
      <c r="F574" s="37"/>
      <c r="G574" s="38"/>
      <c r="H574" s="38"/>
      <c r="I574" s="38"/>
      <c r="J574" s="38"/>
      <c r="K574" s="38"/>
      <c r="L574" s="38"/>
      <c r="M574" s="38"/>
      <c r="N574" s="39"/>
      <c r="O574" s="38"/>
      <c r="P574" s="30"/>
      <c r="Q574" s="35"/>
      <c r="R574" s="31"/>
      <c r="S574" s="31"/>
      <c r="T574" s="31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F574" s="31"/>
      <c r="AG574" s="31"/>
      <c r="AH574" s="31"/>
      <c r="AI574" s="31"/>
      <c r="AJ574" s="31"/>
    </row>
    <row r="575" customFormat="false" ht="14.25" hidden="false" customHeight="true" outlineLevel="0" collapsed="false">
      <c r="A575" s="116"/>
      <c r="B575" s="19"/>
      <c r="C575" s="19"/>
      <c r="D575" s="36"/>
      <c r="E575" s="19"/>
      <c r="F575" s="37"/>
      <c r="G575" s="38"/>
      <c r="H575" s="38"/>
      <c r="I575" s="38"/>
      <c r="J575" s="38"/>
      <c r="K575" s="38"/>
      <c r="L575" s="38"/>
      <c r="M575" s="38"/>
      <c r="N575" s="39"/>
      <c r="O575" s="38"/>
      <c r="P575" s="30"/>
      <c r="Q575" s="35"/>
      <c r="R575" s="31"/>
      <c r="S575" s="31"/>
      <c r="T575" s="31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F575" s="31"/>
      <c r="AG575" s="31"/>
      <c r="AH575" s="31"/>
      <c r="AI575" s="31"/>
      <c r="AJ575" s="31"/>
    </row>
    <row r="576" customFormat="false" ht="14.25" hidden="false" customHeight="true" outlineLevel="0" collapsed="false">
      <c r="A576" s="116"/>
      <c r="B576" s="19"/>
      <c r="C576" s="19"/>
      <c r="D576" s="36"/>
      <c r="E576" s="19"/>
      <c r="F576" s="37"/>
      <c r="G576" s="38"/>
      <c r="H576" s="38"/>
      <c r="I576" s="38"/>
      <c r="J576" s="38"/>
      <c r="K576" s="38"/>
      <c r="L576" s="38"/>
      <c r="M576" s="38"/>
      <c r="N576" s="39"/>
      <c r="O576" s="38"/>
      <c r="P576" s="30"/>
      <c r="Q576" s="35"/>
      <c r="R576" s="31"/>
      <c r="S576" s="31"/>
      <c r="T576" s="31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F576" s="31"/>
      <c r="AG576" s="31"/>
      <c r="AH576" s="31"/>
      <c r="AI576" s="31"/>
      <c r="AJ576" s="31"/>
    </row>
    <row r="577" customFormat="false" ht="14.25" hidden="false" customHeight="true" outlineLevel="0" collapsed="false">
      <c r="A577" s="116"/>
      <c r="B577" s="19"/>
      <c r="C577" s="19"/>
      <c r="D577" s="36"/>
      <c r="E577" s="19"/>
      <c r="F577" s="37"/>
      <c r="G577" s="38"/>
      <c r="H577" s="38"/>
      <c r="I577" s="38"/>
      <c r="J577" s="38"/>
      <c r="K577" s="38"/>
      <c r="L577" s="38"/>
      <c r="M577" s="38"/>
      <c r="N577" s="39"/>
      <c r="O577" s="38"/>
      <c r="P577" s="30"/>
      <c r="Q577" s="35"/>
      <c r="R577" s="31"/>
      <c r="S577" s="31"/>
      <c r="T577" s="31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F577" s="31"/>
      <c r="AG577" s="31"/>
      <c r="AH577" s="31"/>
      <c r="AI577" s="31"/>
      <c r="AJ577" s="31"/>
    </row>
    <row r="578" customFormat="false" ht="14.25" hidden="false" customHeight="true" outlineLevel="0" collapsed="false">
      <c r="A578" s="116"/>
      <c r="B578" s="19"/>
      <c r="C578" s="19"/>
      <c r="D578" s="36"/>
      <c r="E578" s="19"/>
      <c r="F578" s="37"/>
      <c r="G578" s="38"/>
      <c r="H578" s="38"/>
      <c r="I578" s="38"/>
      <c r="J578" s="38"/>
      <c r="K578" s="38"/>
      <c r="L578" s="38"/>
      <c r="M578" s="38"/>
      <c r="N578" s="39"/>
      <c r="O578" s="38"/>
      <c r="P578" s="30"/>
      <c r="Q578" s="35"/>
      <c r="R578" s="31"/>
      <c r="S578" s="31"/>
      <c r="T578" s="31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F578" s="31"/>
      <c r="AG578" s="31"/>
      <c r="AH578" s="31"/>
      <c r="AI578" s="31"/>
      <c r="AJ578" s="31"/>
    </row>
    <row r="579" customFormat="false" ht="14.25" hidden="false" customHeight="true" outlineLevel="0" collapsed="false">
      <c r="A579" s="116"/>
      <c r="B579" s="19"/>
      <c r="C579" s="19"/>
      <c r="D579" s="36"/>
      <c r="E579" s="19"/>
      <c r="F579" s="37"/>
      <c r="G579" s="38"/>
      <c r="H579" s="38"/>
      <c r="I579" s="38"/>
      <c r="J579" s="38"/>
      <c r="K579" s="38"/>
      <c r="L579" s="38"/>
      <c r="M579" s="38"/>
      <c r="N579" s="39"/>
      <c r="O579" s="38"/>
      <c r="P579" s="30"/>
      <c r="Q579" s="35"/>
      <c r="R579" s="31"/>
      <c r="S579" s="31"/>
      <c r="T579" s="31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F579" s="31"/>
      <c r="AG579" s="31"/>
      <c r="AH579" s="31"/>
      <c r="AI579" s="31"/>
      <c r="AJ579" s="31"/>
    </row>
    <row r="580" customFormat="false" ht="14.25" hidden="false" customHeight="true" outlineLevel="0" collapsed="false">
      <c r="A580" s="116"/>
      <c r="B580" s="19"/>
      <c r="C580" s="19"/>
      <c r="D580" s="36"/>
      <c r="E580" s="19"/>
      <c r="F580" s="37"/>
      <c r="G580" s="38"/>
      <c r="H580" s="38"/>
      <c r="I580" s="38"/>
      <c r="J580" s="38"/>
      <c r="K580" s="38"/>
      <c r="L580" s="38"/>
      <c r="M580" s="38"/>
      <c r="N580" s="39"/>
      <c r="O580" s="38"/>
      <c r="P580" s="30"/>
      <c r="Q580" s="35"/>
      <c r="R580" s="31"/>
      <c r="S580" s="31"/>
      <c r="T580" s="31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F580" s="31"/>
      <c r="AG580" s="31"/>
      <c r="AH580" s="31"/>
      <c r="AI580" s="31"/>
      <c r="AJ580" s="31"/>
    </row>
    <row r="581" customFormat="false" ht="14.25" hidden="false" customHeight="true" outlineLevel="0" collapsed="false">
      <c r="A581" s="116"/>
      <c r="B581" s="19"/>
      <c r="C581" s="19"/>
      <c r="D581" s="36"/>
      <c r="E581" s="19"/>
      <c r="F581" s="37"/>
      <c r="G581" s="38"/>
      <c r="H581" s="38"/>
      <c r="I581" s="38"/>
      <c r="J581" s="38"/>
      <c r="K581" s="38"/>
      <c r="L581" s="38"/>
      <c r="M581" s="38"/>
      <c r="N581" s="39"/>
      <c r="O581" s="38"/>
      <c r="P581" s="30"/>
      <c r="Q581" s="35"/>
      <c r="R581" s="31"/>
      <c r="S581" s="31"/>
      <c r="T581" s="31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F581" s="31"/>
      <c r="AG581" s="31"/>
      <c r="AH581" s="31"/>
      <c r="AI581" s="31"/>
      <c r="AJ581" s="31"/>
    </row>
    <row r="582" customFormat="false" ht="14.25" hidden="false" customHeight="true" outlineLevel="0" collapsed="false">
      <c r="A582" s="116"/>
      <c r="B582" s="19"/>
      <c r="C582" s="19"/>
      <c r="D582" s="36"/>
      <c r="E582" s="19"/>
      <c r="F582" s="37"/>
      <c r="G582" s="38"/>
      <c r="H582" s="38"/>
      <c r="I582" s="38"/>
      <c r="J582" s="38"/>
      <c r="K582" s="38"/>
      <c r="L582" s="38"/>
      <c r="M582" s="38"/>
      <c r="N582" s="39"/>
      <c r="O582" s="38"/>
      <c r="P582" s="30"/>
      <c r="Q582" s="35"/>
      <c r="R582" s="31"/>
      <c r="S582" s="31"/>
      <c r="T582" s="31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F582" s="31"/>
      <c r="AG582" s="31"/>
      <c r="AH582" s="31"/>
      <c r="AI582" s="31"/>
      <c r="AJ582" s="31"/>
    </row>
    <row r="583" customFormat="false" ht="14.25" hidden="false" customHeight="true" outlineLevel="0" collapsed="false">
      <c r="A583" s="116"/>
      <c r="B583" s="19"/>
      <c r="C583" s="19"/>
      <c r="D583" s="36"/>
      <c r="E583" s="19"/>
      <c r="F583" s="37"/>
      <c r="G583" s="38"/>
      <c r="H583" s="38"/>
      <c r="I583" s="38"/>
      <c r="J583" s="38"/>
      <c r="K583" s="38"/>
      <c r="L583" s="38"/>
      <c r="M583" s="38"/>
      <c r="N583" s="39"/>
      <c r="O583" s="38"/>
      <c r="P583" s="30"/>
      <c r="Q583" s="35"/>
      <c r="R583" s="31"/>
      <c r="S583" s="31"/>
      <c r="T583" s="31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F583" s="31"/>
      <c r="AG583" s="31"/>
      <c r="AH583" s="31"/>
      <c r="AI583" s="31"/>
      <c r="AJ583" s="31"/>
    </row>
    <row r="584" customFormat="false" ht="14.25" hidden="false" customHeight="true" outlineLevel="0" collapsed="false">
      <c r="A584" s="116"/>
      <c r="B584" s="19"/>
      <c r="C584" s="19"/>
      <c r="D584" s="36"/>
      <c r="E584" s="19"/>
      <c r="F584" s="37"/>
      <c r="G584" s="38"/>
      <c r="H584" s="38"/>
      <c r="I584" s="38"/>
      <c r="J584" s="38"/>
      <c r="K584" s="38"/>
      <c r="L584" s="38"/>
      <c r="M584" s="38"/>
      <c r="N584" s="39"/>
      <c r="O584" s="38"/>
      <c r="P584" s="30"/>
      <c r="Q584" s="35"/>
      <c r="R584" s="31"/>
      <c r="S584" s="31"/>
      <c r="T584" s="31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F584" s="31"/>
      <c r="AG584" s="31"/>
      <c r="AH584" s="31"/>
      <c r="AI584" s="31"/>
      <c r="AJ584" s="31"/>
    </row>
    <row r="585" customFormat="false" ht="14.25" hidden="false" customHeight="true" outlineLevel="0" collapsed="false">
      <c r="A585" s="116"/>
      <c r="B585" s="19"/>
      <c r="C585" s="19"/>
      <c r="D585" s="36"/>
      <c r="E585" s="19"/>
      <c r="F585" s="37"/>
      <c r="G585" s="38"/>
      <c r="H585" s="38"/>
      <c r="I585" s="38"/>
      <c r="J585" s="38"/>
      <c r="K585" s="38"/>
      <c r="L585" s="38"/>
      <c r="M585" s="38"/>
      <c r="N585" s="39"/>
      <c r="O585" s="38"/>
      <c r="P585" s="30"/>
      <c r="Q585" s="35"/>
      <c r="R585" s="31"/>
      <c r="S585" s="31"/>
      <c r="T585" s="31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F585" s="31"/>
      <c r="AG585" s="31"/>
      <c r="AH585" s="31"/>
      <c r="AI585" s="31"/>
      <c r="AJ585" s="31"/>
    </row>
    <row r="586" customFormat="false" ht="14.25" hidden="false" customHeight="true" outlineLevel="0" collapsed="false">
      <c r="A586" s="116"/>
      <c r="B586" s="19"/>
      <c r="C586" s="19"/>
      <c r="D586" s="36"/>
      <c r="E586" s="19"/>
      <c r="F586" s="37"/>
      <c r="G586" s="38"/>
      <c r="H586" s="38"/>
      <c r="I586" s="38"/>
      <c r="J586" s="38"/>
      <c r="K586" s="38"/>
      <c r="L586" s="38"/>
      <c r="M586" s="38"/>
      <c r="N586" s="39"/>
      <c r="O586" s="38"/>
      <c r="P586" s="30"/>
      <c r="Q586" s="35"/>
      <c r="R586" s="31"/>
      <c r="S586" s="31"/>
      <c r="T586" s="31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F586" s="31"/>
      <c r="AG586" s="31"/>
      <c r="AH586" s="31"/>
      <c r="AI586" s="31"/>
      <c r="AJ586" s="31"/>
    </row>
    <row r="587" customFormat="false" ht="14.25" hidden="false" customHeight="true" outlineLevel="0" collapsed="false">
      <c r="A587" s="116"/>
      <c r="B587" s="19"/>
      <c r="C587" s="19"/>
      <c r="D587" s="36"/>
      <c r="E587" s="19"/>
      <c r="F587" s="37"/>
      <c r="G587" s="38"/>
      <c r="H587" s="38"/>
      <c r="I587" s="38"/>
      <c r="J587" s="38"/>
      <c r="K587" s="38"/>
      <c r="L587" s="38"/>
      <c r="M587" s="38"/>
      <c r="N587" s="39"/>
      <c r="O587" s="38"/>
      <c r="P587" s="30"/>
      <c r="Q587" s="35"/>
      <c r="R587" s="31"/>
      <c r="S587" s="31"/>
      <c r="T587" s="31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F587" s="31"/>
      <c r="AG587" s="31"/>
      <c r="AH587" s="31"/>
      <c r="AI587" s="31"/>
      <c r="AJ587" s="31"/>
    </row>
    <row r="588" customFormat="false" ht="14.25" hidden="false" customHeight="true" outlineLevel="0" collapsed="false">
      <c r="A588" s="116"/>
      <c r="B588" s="19"/>
      <c r="C588" s="19"/>
      <c r="D588" s="36"/>
      <c r="E588" s="19"/>
      <c r="F588" s="37"/>
      <c r="G588" s="38"/>
      <c r="H588" s="38"/>
      <c r="I588" s="38"/>
      <c r="J588" s="38"/>
      <c r="K588" s="38"/>
      <c r="L588" s="38"/>
      <c r="M588" s="38"/>
      <c r="N588" s="39"/>
      <c r="O588" s="38"/>
      <c r="P588" s="30"/>
      <c r="Q588" s="35"/>
      <c r="R588" s="31"/>
      <c r="S588" s="31"/>
      <c r="T588" s="31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F588" s="31"/>
      <c r="AG588" s="31"/>
      <c r="AH588" s="31"/>
      <c r="AI588" s="31"/>
      <c r="AJ588" s="31"/>
    </row>
    <row r="589" customFormat="false" ht="14.25" hidden="false" customHeight="true" outlineLevel="0" collapsed="false">
      <c r="A589" s="116"/>
      <c r="B589" s="19"/>
      <c r="C589" s="19"/>
      <c r="D589" s="36"/>
      <c r="E589" s="19"/>
      <c r="F589" s="37"/>
      <c r="G589" s="38"/>
      <c r="H589" s="38"/>
      <c r="I589" s="38"/>
      <c r="J589" s="38"/>
      <c r="K589" s="38"/>
      <c r="L589" s="38"/>
      <c r="M589" s="38"/>
      <c r="N589" s="39"/>
      <c r="O589" s="38"/>
      <c r="P589" s="30"/>
      <c r="Q589" s="35"/>
      <c r="R589" s="31"/>
      <c r="S589" s="31"/>
      <c r="T589" s="31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F589" s="31"/>
      <c r="AG589" s="31"/>
      <c r="AH589" s="31"/>
      <c r="AI589" s="31"/>
      <c r="AJ589" s="31"/>
    </row>
    <row r="590" customFormat="false" ht="14.25" hidden="false" customHeight="true" outlineLevel="0" collapsed="false">
      <c r="A590" s="116"/>
      <c r="B590" s="19"/>
      <c r="C590" s="19"/>
      <c r="D590" s="36"/>
      <c r="E590" s="19"/>
      <c r="F590" s="37"/>
      <c r="G590" s="38"/>
      <c r="H590" s="38"/>
      <c r="I590" s="38"/>
      <c r="J590" s="38"/>
      <c r="K590" s="38"/>
      <c r="L590" s="38"/>
      <c r="M590" s="38"/>
      <c r="N590" s="39"/>
      <c r="O590" s="38"/>
      <c r="P590" s="30"/>
      <c r="Q590" s="35"/>
      <c r="R590" s="31"/>
      <c r="S590" s="31"/>
      <c r="T590" s="31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F590" s="31"/>
      <c r="AG590" s="31"/>
      <c r="AH590" s="31"/>
      <c r="AI590" s="31"/>
      <c r="AJ590" s="31"/>
    </row>
    <row r="591" customFormat="false" ht="14.25" hidden="false" customHeight="true" outlineLevel="0" collapsed="false">
      <c r="A591" s="116"/>
      <c r="B591" s="19"/>
      <c r="C591" s="19"/>
      <c r="D591" s="36"/>
      <c r="E591" s="19"/>
      <c r="F591" s="37"/>
      <c r="G591" s="38"/>
      <c r="H591" s="38"/>
      <c r="I591" s="38"/>
      <c r="J591" s="38"/>
      <c r="K591" s="38"/>
      <c r="L591" s="38"/>
      <c r="M591" s="38"/>
      <c r="N591" s="39"/>
      <c r="O591" s="38"/>
      <c r="P591" s="30"/>
      <c r="Q591" s="35"/>
      <c r="R591" s="31"/>
      <c r="S591" s="31"/>
      <c r="T591" s="31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F591" s="31"/>
      <c r="AG591" s="31"/>
      <c r="AH591" s="31"/>
      <c r="AI591" s="31"/>
      <c r="AJ591" s="31"/>
    </row>
    <row r="592" customFormat="false" ht="14.25" hidden="false" customHeight="true" outlineLevel="0" collapsed="false">
      <c r="A592" s="116"/>
      <c r="B592" s="19"/>
      <c r="C592" s="19"/>
      <c r="D592" s="36"/>
      <c r="E592" s="19"/>
      <c r="F592" s="37"/>
      <c r="G592" s="38"/>
      <c r="H592" s="38"/>
      <c r="I592" s="38"/>
      <c r="J592" s="38"/>
      <c r="K592" s="38"/>
      <c r="L592" s="38"/>
      <c r="M592" s="38"/>
      <c r="N592" s="39"/>
      <c r="O592" s="38"/>
      <c r="P592" s="30"/>
      <c r="Q592" s="35"/>
      <c r="R592" s="31"/>
      <c r="S592" s="31"/>
      <c r="T592" s="31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F592" s="31"/>
      <c r="AG592" s="31"/>
      <c r="AH592" s="31"/>
      <c r="AI592" s="31"/>
      <c r="AJ592" s="31"/>
    </row>
    <row r="593" customFormat="false" ht="14.25" hidden="false" customHeight="true" outlineLevel="0" collapsed="false">
      <c r="A593" s="116"/>
      <c r="B593" s="19"/>
      <c r="C593" s="19"/>
      <c r="D593" s="36"/>
      <c r="E593" s="19"/>
      <c r="F593" s="37"/>
      <c r="G593" s="38"/>
      <c r="H593" s="38"/>
      <c r="I593" s="38"/>
      <c r="J593" s="38"/>
      <c r="K593" s="38"/>
      <c r="L593" s="38"/>
      <c r="M593" s="38"/>
      <c r="N593" s="39"/>
      <c r="O593" s="38"/>
      <c r="P593" s="30"/>
      <c r="Q593" s="35"/>
      <c r="R593" s="31"/>
      <c r="S593" s="31"/>
      <c r="T593" s="31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F593" s="31"/>
      <c r="AG593" s="31"/>
      <c r="AH593" s="31"/>
      <c r="AI593" s="31"/>
      <c r="AJ593" s="31"/>
    </row>
    <row r="594" customFormat="false" ht="14.25" hidden="false" customHeight="true" outlineLevel="0" collapsed="false">
      <c r="A594" s="116"/>
      <c r="B594" s="19"/>
      <c r="C594" s="19"/>
      <c r="D594" s="36"/>
      <c r="E594" s="19"/>
      <c r="F594" s="37"/>
      <c r="G594" s="38"/>
      <c r="H594" s="38"/>
      <c r="I594" s="38"/>
      <c r="J594" s="38"/>
      <c r="K594" s="38"/>
      <c r="L594" s="38"/>
      <c r="M594" s="38"/>
      <c r="N594" s="39"/>
      <c r="O594" s="38"/>
      <c r="P594" s="30"/>
      <c r="Q594" s="35"/>
      <c r="R594" s="31"/>
      <c r="S594" s="31"/>
      <c r="T594" s="31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F594" s="31"/>
      <c r="AG594" s="31"/>
      <c r="AH594" s="31"/>
      <c r="AI594" s="31"/>
      <c r="AJ594" s="31"/>
    </row>
    <row r="595" customFormat="false" ht="14.25" hidden="false" customHeight="true" outlineLevel="0" collapsed="false">
      <c r="A595" s="116"/>
      <c r="B595" s="19"/>
      <c r="C595" s="19"/>
      <c r="D595" s="36"/>
      <c r="E595" s="19"/>
      <c r="F595" s="37"/>
      <c r="G595" s="38"/>
      <c r="H595" s="38"/>
      <c r="I595" s="38"/>
      <c r="J595" s="38"/>
      <c r="K595" s="38"/>
      <c r="L595" s="38"/>
      <c r="M595" s="38"/>
      <c r="N595" s="39"/>
      <c r="O595" s="38"/>
      <c r="P595" s="30"/>
      <c r="Q595" s="35"/>
      <c r="R595" s="31"/>
      <c r="S595" s="31"/>
      <c r="T595" s="31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F595" s="31"/>
      <c r="AG595" s="31"/>
      <c r="AH595" s="31"/>
      <c r="AI595" s="31"/>
      <c r="AJ595" s="31"/>
    </row>
    <row r="596" customFormat="false" ht="14.25" hidden="false" customHeight="true" outlineLevel="0" collapsed="false">
      <c r="A596" s="116"/>
      <c r="B596" s="19"/>
      <c r="C596" s="19"/>
      <c r="D596" s="36"/>
      <c r="E596" s="19"/>
      <c r="F596" s="37"/>
      <c r="G596" s="38"/>
      <c r="H596" s="38"/>
      <c r="I596" s="38"/>
      <c r="J596" s="38"/>
      <c r="K596" s="38"/>
      <c r="L596" s="38"/>
      <c r="M596" s="38"/>
      <c r="N596" s="39"/>
      <c r="O596" s="38"/>
      <c r="P596" s="30"/>
      <c r="Q596" s="35"/>
      <c r="R596" s="31"/>
      <c r="S596" s="31"/>
      <c r="T596" s="31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F596" s="31"/>
      <c r="AG596" s="31"/>
      <c r="AH596" s="31"/>
      <c r="AI596" s="31"/>
      <c r="AJ596" s="31"/>
    </row>
    <row r="597" customFormat="false" ht="14.25" hidden="false" customHeight="true" outlineLevel="0" collapsed="false">
      <c r="A597" s="116"/>
      <c r="B597" s="19"/>
      <c r="C597" s="19"/>
      <c r="D597" s="36"/>
      <c r="E597" s="19"/>
      <c r="F597" s="37"/>
      <c r="G597" s="38"/>
      <c r="H597" s="38"/>
      <c r="I597" s="38"/>
      <c r="J597" s="38"/>
      <c r="K597" s="38"/>
      <c r="L597" s="38"/>
      <c r="M597" s="38"/>
      <c r="N597" s="39"/>
      <c r="O597" s="38"/>
      <c r="P597" s="30"/>
      <c r="Q597" s="35"/>
      <c r="R597" s="31"/>
      <c r="S597" s="31"/>
      <c r="T597" s="31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F597" s="31"/>
      <c r="AG597" s="31"/>
      <c r="AH597" s="31"/>
      <c r="AI597" s="31"/>
      <c r="AJ597" s="31"/>
    </row>
    <row r="598" customFormat="false" ht="14.25" hidden="false" customHeight="true" outlineLevel="0" collapsed="false">
      <c r="A598" s="116"/>
      <c r="B598" s="19"/>
      <c r="C598" s="19"/>
      <c r="D598" s="36"/>
      <c r="E598" s="19"/>
      <c r="F598" s="37"/>
      <c r="G598" s="38"/>
      <c r="H598" s="38"/>
      <c r="I598" s="38"/>
      <c r="J598" s="38"/>
      <c r="K598" s="38"/>
      <c r="L598" s="38"/>
      <c r="M598" s="38"/>
      <c r="N598" s="39"/>
      <c r="O598" s="38"/>
      <c r="P598" s="30"/>
      <c r="Q598" s="35"/>
      <c r="R598" s="31"/>
      <c r="S598" s="31"/>
      <c r="T598" s="31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F598" s="31"/>
      <c r="AG598" s="31"/>
      <c r="AH598" s="31"/>
      <c r="AI598" s="31"/>
      <c r="AJ598" s="31"/>
    </row>
    <row r="599" customFormat="false" ht="14.25" hidden="false" customHeight="true" outlineLevel="0" collapsed="false">
      <c r="A599" s="116"/>
      <c r="B599" s="19"/>
      <c r="C599" s="19"/>
      <c r="D599" s="36"/>
      <c r="E599" s="19"/>
      <c r="F599" s="37"/>
      <c r="G599" s="38"/>
      <c r="H599" s="38"/>
      <c r="I599" s="38"/>
      <c r="J599" s="38"/>
      <c r="K599" s="38"/>
      <c r="L599" s="38"/>
      <c r="M599" s="38"/>
      <c r="N599" s="39"/>
      <c r="O599" s="38"/>
      <c r="P599" s="30"/>
      <c r="Q599" s="35"/>
      <c r="R599" s="31"/>
      <c r="S599" s="31"/>
      <c r="T599" s="31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F599" s="31"/>
      <c r="AG599" s="31"/>
      <c r="AH599" s="31"/>
      <c r="AI599" s="31"/>
      <c r="AJ599" s="31"/>
    </row>
    <row r="600" customFormat="false" ht="14.25" hidden="false" customHeight="true" outlineLevel="0" collapsed="false">
      <c r="A600" s="116"/>
      <c r="B600" s="19"/>
      <c r="C600" s="19"/>
      <c r="D600" s="36"/>
      <c r="E600" s="19"/>
      <c r="F600" s="37"/>
      <c r="G600" s="38"/>
      <c r="H600" s="38"/>
      <c r="I600" s="38"/>
      <c r="J600" s="38"/>
      <c r="K600" s="38"/>
      <c r="L600" s="38"/>
      <c r="M600" s="38"/>
      <c r="N600" s="39"/>
      <c r="O600" s="38"/>
      <c r="P600" s="30"/>
      <c r="Q600" s="35"/>
      <c r="R600" s="31"/>
      <c r="S600" s="31"/>
      <c r="T600" s="31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F600" s="31"/>
      <c r="AG600" s="31"/>
      <c r="AH600" s="31"/>
      <c r="AI600" s="31"/>
      <c r="AJ600" s="31"/>
    </row>
    <row r="601" customFormat="false" ht="14.25" hidden="false" customHeight="true" outlineLevel="0" collapsed="false">
      <c r="A601" s="116"/>
      <c r="B601" s="19"/>
      <c r="C601" s="19"/>
      <c r="D601" s="36"/>
      <c r="E601" s="19"/>
      <c r="F601" s="37"/>
      <c r="G601" s="38"/>
      <c r="H601" s="38"/>
      <c r="I601" s="38"/>
      <c r="J601" s="38"/>
      <c r="K601" s="38"/>
      <c r="L601" s="38"/>
      <c r="M601" s="38"/>
      <c r="N601" s="39"/>
      <c r="O601" s="38"/>
      <c r="P601" s="30"/>
      <c r="Q601" s="35"/>
      <c r="R601" s="31"/>
      <c r="S601" s="31"/>
      <c r="T601" s="31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F601" s="31"/>
      <c r="AG601" s="31"/>
      <c r="AH601" s="31"/>
      <c r="AI601" s="31"/>
      <c r="AJ601" s="31"/>
    </row>
    <row r="602" customFormat="false" ht="14.25" hidden="false" customHeight="true" outlineLevel="0" collapsed="false">
      <c r="A602" s="116"/>
      <c r="B602" s="19"/>
      <c r="C602" s="19"/>
      <c r="D602" s="36"/>
      <c r="E602" s="19"/>
      <c r="F602" s="37"/>
      <c r="G602" s="38"/>
      <c r="H602" s="38"/>
      <c r="I602" s="38"/>
      <c r="J602" s="38"/>
      <c r="K602" s="38"/>
      <c r="L602" s="38"/>
      <c r="M602" s="38"/>
      <c r="N602" s="39"/>
      <c r="O602" s="38"/>
      <c r="P602" s="30"/>
      <c r="Q602" s="35"/>
      <c r="R602" s="31"/>
      <c r="S602" s="31"/>
      <c r="T602" s="31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F602" s="31"/>
      <c r="AG602" s="31"/>
      <c r="AH602" s="31"/>
      <c r="AI602" s="31"/>
      <c r="AJ602" s="31"/>
    </row>
    <row r="603" customFormat="false" ht="14.25" hidden="false" customHeight="true" outlineLevel="0" collapsed="false">
      <c r="A603" s="116"/>
      <c r="B603" s="19"/>
      <c r="C603" s="19"/>
      <c r="D603" s="36"/>
      <c r="E603" s="19"/>
      <c r="F603" s="37"/>
      <c r="G603" s="38"/>
      <c r="H603" s="38"/>
      <c r="I603" s="38"/>
      <c r="J603" s="38"/>
      <c r="K603" s="38"/>
      <c r="L603" s="38"/>
      <c r="M603" s="38"/>
      <c r="N603" s="39"/>
      <c r="O603" s="38"/>
      <c r="P603" s="30"/>
      <c r="Q603" s="35"/>
      <c r="R603" s="31"/>
      <c r="S603" s="31"/>
      <c r="T603" s="31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F603" s="31"/>
      <c r="AG603" s="31"/>
      <c r="AH603" s="31"/>
      <c r="AI603" s="31"/>
      <c r="AJ603" s="31"/>
    </row>
    <row r="604" customFormat="false" ht="14.25" hidden="false" customHeight="true" outlineLevel="0" collapsed="false">
      <c r="A604" s="116"/>
      <c r="B604" s="19"/>
      <c r="C604" s="19"/>
      <c r="D604" s="36"/>
      <c r="E604" s="19"/>
      <c r="F604" s="37"/>
      <c r="G604" s="38"/>
      <c r="H604" s="38"/>
      <c r="I604" s="38"/>
      <c r="J604" s="38"/>
      <c r="K604" s="38"/>
      <c r="L604" s="38"/>
      <c r="M604" s="38"/>
      <c r="N604" s="39"/>
      <c r="O604" s="38"/>
      <c r="P604" s="30"/>
      <c r="Q604" s="35"/>
      <c r="R604" s="31"/>
      <c r="S604" s="31"/>
      <c r="T604" s="31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F604" s="31"/>
      <c r="AG604" s="31"/>
      <c r="AH604" s="31"/>
      <c r="AI604" s="31"/>
      <c r="AJ604" s="31"/>
    </row>
    <row r="605" customFormat="false" ht="14.25" hidden="false" customHeight="true" outlineLevel="0" collapsed="false">
      <c r="A605" s="116"/>
      <c r="B605" s="19"/>
      <c r="C605" s="19"/>
      <c r="D605" s="36"/>
      <c r="E605" s="19"/>
      <c r="F605" s="37"/>
      <c r="G605" s="38"/>
      <c r="H605" s="38"/>
      <c r="I605" s="38"/>
      <c r="J605" s="38"/>
      <c r="K605" s="38"/>
      <c r="L605" s="38"/>
      <c r="M605" s="38"/>
      <c r="N605" s="39"/>
      <c r="O605" s="38"/>
      <c r="P605" s="30"/>
      <c r="Q605" s="35"/>
      <c r="R605" s="31"/>
      <c r="S605" s="31"/>
      <c r="T605" s="31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F605" s="31"/>
      <c r="AG605" s="31"/>
      <c r="AH605" s="31"/>
      <c r="AI605" s="31"/>
      <c r="AJ605" s="31"/>
    </row>
    <row r="606" customFormat="false" ht="14.25" hidden="false" customHeight="true" outlineLevel="0" collapsed="false">
      <c r="A606" s="116"/>
      <c r="B606" s="19"/>
      <c r="C606" s="19"/>
      <c r="D606" s="36"/>
      <c r="E606" s="19"/>
      <c r="F606" s="37"/>
      <c r="G606" s="38"/>
      <c r="H606" s="38"/>
      <c r="I606" s="38"/>
      <c r="J606" s="38"/>
      <c r="K606" s="38"/>
      <c r="L606" s="38"/>
      <c r="M606" s="38"/>
      <c r="N606" s="39"/>
      <c r="O606" s="38"/>
      <c r="P606" s="30"/>
      <c r="Q606" s="35"/>
      <c r="R606" s="31"/>
      <c r="S606" s="31"/>
      <c r="T606" s="31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F606" s="31"/>
      <c r="AG606" s="31"/>
      <c r="AH606" s="31"/>
      <c r="AI606" s="31"/>
      <c r="AJ606" s="31"/>
    </row>
    <row r="607" customFormat="false" ht="14.25" hidden="false" customHeight="true" outlineLevel="0" collapsed="false">
      <c r="A607" s="116"/>
      <c r="B607" s="19"/>
      <c r="C607" s="19"/>
      <c r="D607" s="36"/>
      <c r="E607" s="19"/>
      <c r="F607" s="37"/>
      <c r="G607" s="38"/>
      <c r="H607" s="38"/>
      <c r="I607" s="38"/>
      <c r="J607" s="38"/>
      <c r="K607" s="38"/>
      <c r="L607" s="38"/>
      <c r="M607" s="38"/>
      <c r="N607" s="39"/>
      <c r="O607" s="38"/>
      <c r="P607" s="30"/>
      <c r="Q607" s="35"/>
      <c r="R607" s="31"/>
      <c r="S607" s="31"/>
      <c r="T607" s="31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F607" s="31"/>
      <c r="AG607" s="31"/>
      <c r="AH607" s="31"/>
      <c r="AI607" s="31"/>
      <c r="AJ607" s="31"/>
    </row>
    <row r="608" customFormat="false" ht="14.25" hidden="false" customHeight="true" outlineLevel="0" collapsed="false">
      <c r="A608" s="116"/>
      <c r="B608" s="19"/>
      <c r="C608" s="19"/>
      <c r="D608" s="36"/>
      <c r="E608" s="19"/>
      <c r="F608" s="37"/>
      <c r="G608" s="38"/>
      <c r="H608" s="38"/>
      <c r="I608" s="38"/>
      <c r="J608" s="38"/>
      <c r="K608" s="38"/>
      <c r="L608" s="38"/>
      <c r="M608" s="38"/>
      <c r="N608" s="39"/>
      <c r="O608" s="38"/>
      <c r="P608" s="30"/>
      <c r="Q608" s="35"/>
      <c r="R608" s="31"/>
      <c r="S608" s="31"/>
      <c r="T608" s="31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F608" s="31"/>
      <c r="AG608" s="31"/>
      <c r="AH608" s="31"/>
      <c r="AI608" s="31"/>
      <c r="AJ608" s="31"/>
    </row>
    <row r="609" customFormat="false" ht="14.25" hidden="false" customHeight="true" outlineLevel="0" collapsed="false">
      <c r="A609" s="116"/>
      <c r="B609" s="19"/>
      <c r="C609" s="19"/>
      <c r="D609" s="36"/>
      <c r="E609" s="19"/>
      <c r="F609" s="37"/>
      <c r="G609" s="38"/>
      <c r="H609" s="38"/>
      <c r="I609" s="38"/>
      <c r="J609" s="38"/>
      <c r="K609" s="38"/>
      <c r="L609" s="38"/>
      <c r="M609" s="38"/>
      <c r="N609" s="39"/>
      <c r="O609" s="38"/>
      <c r="P609" s="30"/>
      <c r="Q609" s="35"/>
      <c r="R609" s="31"/>
      <c r="S609" s="31"/>
      <c r="T609" s="31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F609" s="31"/>
      <c r="AG609" s="31"/>
      <c r="AH609" s="31"/>
      <c r="AI609" s="31"/>
      <c r="AJ609" s="31"/>
    </row>
    <row r="610" customFormat="false" ht="14.25" hidden="false" customHeight="true" outlineLevel="0" collapsed="false">
      <c r="A610" s="116"/>
      <c r="B610" s="19"/>
      <c r="C610" s="19"/>
      <c r="D610" s="36"/>
      <c r="E610" s="19"/>
      <c r="F610" s="37"/>
      <c r="G610" s="38"/>
      <c r="H610" s="38"/>
      <c r="I610" s="38"/>
      <c r="J610" s="38"/>
      <c r="K610" s="38"/>
      <c r="L610" s="38"/>
      <c r="M610" s="38"/>
      <c r="N610" s="39"/>
      <c r="O610" s="38"/>
      <c r="P610" s="30"/>
      <c r="Q610" s="35"/>
      <c r="R610" s="31"/>
      <c r="S610" s="31"/>
      <c r="T610" s="31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F610" s="31"/>
      <c r="AG610" s="31"/>
      <c r="AH610" s="31"/>
      <c r="AI610" s="31"/>
      <c r="AJ610" s="31"/>
    </row>
    <row r="611" customFormat="false" ht="14.25" hidden="false" customHeight="true" outlineLevel="0" collapsed="false">
      <c r="A611" s="116"/>
      <c r="B611" s="19"/>
      <c r="C611" s="19"/>
      <c r="D611" s="36"/>
      <c r="E611" s="19"/>
      <c r="F611" s="37"/>
      <c r="G611" s="38"/>
      <c r="H611" s="38"/>
      <c r="I611" s="38"/>
      <c r="J611" s="38"/>
      <c r="K611" s="38"/>
      <c r="L611" s="38"/>
      <c r="M611" s="38"/>
      <c r="N611" s="39"/>
      <c r="O611" s="38"/>
      <c r="P611" s="30"/>
      <c r="Q611" s="35"/>
      <c r="R611" s="31"/>
      <c r="S611" s="31"/>
      <c r="T611" s="31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F611" s="31"/>
      <c r="AG611" s="31"/>
      <c r="AH611" s="31"/>
      <c r="AI611" s="31"/>
      <c r="AJ611" s="31"/>
    </row>
    <row r="612" customFormat="false" ht="14.25" hidden="false" customHeight="true" outlineLevel="0" collapsed="false">
      <c r="A612" s="116"/>
      <c r="B612" s="19"/>
      <c r="C612" s="19"/>
      <c r="D612" s="36"/>
      <c r="E612" s="19"/>
      <c r="F612" s="37"/>
      <c r="G612" s="38"/>
      <c r="H612" s="38"/>
      <c r="I612" s="38"/>
      <c r="J612" s="38"/>
      <c r="K612" s="38"/>
      <c r="L612" s="38"/>
      <c r="M612" s="38"/>
      <c r="N612" s="39"/>
      <c r="O612" s="38"/>
      <c r="P612" s="30"/>
      <c r="Q612" s="35"/>
      <c r="R612" s="31"/>
      <c r="S612" s="31"/>
      <c r="T612" s="31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F612" s="31"/>
      <c r="AG612" s="31"/>
      <c r="AH612" s="31"/>
      <c r="AI612" s="31"/>
      <c r="AJ612" s="31"/>
    </row>
    <row r="613" customFormat="false" ht="14.25" hidden="false" customHeight="true" outlineLevel="0" collapsed="false">
      <c r="A613" s="116"/>
      <c r="B613" s="19"/>
      <c r="C613" s="19"/>
      <c r="D613" s="36"/>
      <c r="E613" s="19"/>
      <c r="F613" s="37"/>
      <c r="G613" s="38"/>
      <c r="H613" s="38"/>
      <c r="I613" s="38"/>
      <c r="J613" s="38"/>
      <c r="K613" s="38"/>
      <c r="L613" s="38"/>
      <c r="M613" s="38"/>
      <c r="N613" s="39"/>
      <c r="O613" s="38"/>
      <c r="P613" s="30"/>
      <c r="Q613" s="35"/>
      <c r="R613" s="31"/>
      <c r="S613" s="31"/>
      <c r="T613" s="31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F613" s="31"/>
      <c r="AG613" s="31"/>
      <c r="AH613" s="31"/>
      <c r="AI613" s="31"/>
      <c r="AJ613" s="31"/>
    </row>
    <row r="614" customFormat="false" ht="14.25" hidden="false" customHeight="true" outlineLevel="0" collapsed="false">
      <c r="A614" s="116"/>
      <c r="B614" s="19"/>
      <c r="C614" s="19"/>
      <c r="D614" s="36"/>
      <c r="E614" s="19"/>
      <c r="F614" s="37"/>
      <c r="G614" s="38"/>
      <c r="H614" s="38"/>
      <c r="I614" s="38"/>
      <c r="J614" s="38"/>
      <c r="K614" s="38"/>
      <c r="L614" s="38"/>
      <c r="M614" s="38"/>
      <c r="N614" s="39"/>
      <c r="O614" s="38"/>
      <c r="P614" s="30"/>
      <c r="Q614" s="35"/>
      <c r="R614" s="31"/>
      <c r="S614" s="31"/>
      <c r="T614" s="31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F614" s="31"/>
      <c r="AG614" s="31"/>
      <c r="AH614" s="31"/>
      <c r="AI614" s="31"/>
      <c r="AJ614" s="31"/>
    </row>
    <row r="615" customFormat="false" ht="14.25" hidden="false" customHeight="true" outlineLevel="0" collapsed="false">
      <c r="A615" s="116"/>
      <c r="B615" s="19"/>
      <c r="C615" s="19"/>
      <c r="D615" s="36"/>
      <c r="E615" s="19"/>
      <c r="F615" s="37"/>
      <c r="G615" s="38"/>
      <c r="H615" s="38"/>
      <c r="I615" s="38"/>
      <c r="J615" s="38"/>
      <c r="K615" s="38"/>
      <c r="L615" s="38"/>
      <c r="M615" s="38"/>
      <c r="N615" s="39"/>
      <c r="O615" s="38"/>
      <c r="P615" s="30"/>
      <c r="Q615" s="35"/>
      <c r="R615" s="31"/>
      <c r="S615" s="31"/>
      <c r="T615" s="31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F615" s="31"/>
      <c r="AG615" s="31"/>
      <c r="AH615" s="31"/>
      <c r="AI615" s="31"/>
      <c r="AJ615" s="31"/>
    </row>
    <row r="616" customFormat="false" ht="14.25" hidden="false" customHeight="true" outlineLevel="0" collapsed="false">
      <c r="A616" s="116"/>
      <c r="B616" s="19"/>
      <c r="C616" s="19"/>
      <c r="D616" s="36"/>
      <c r="E616" s="19"/>
      <c r="F616" s="37"/>
      <c r="G616" s="38"/>
      <c r="H616" s="38"/>
      <c r="I616" s="38"/>
      <c r="J616" s="38"/>
      <c r="K616" s="38"/>
      <c r="L616" s="38"/>
      <c r="M616" s="38"/>
      <c r="N616" s="39"/>
      <c r="O616" s="38"/>
      <c r="P616" s="30"/>
      <c r="Q616" s="35"/>
      <c r="R616" s="31"/>
      <c r="S616" s="31"/>
      <c r="T616" s="31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F616" s="31"/>
      <c r="AG616" s="31"/>
      <c r="AH616" s="31"/>
      <c r="AI616" s="31"/>
      <c r="AJ616" s="31"/>
    </row>
    <row r="617" customFormat="false" ht="14.25" hidden="false" customHeight="true" outlineLevel="0" collapsed="false">
      <c r="A617" s="116"/>
      <c r="B617" s="19"/>
      <c r="C617" s="19"/>
      <c r="D617" s="36"/>
      <c r="E617" s="19"/>
      <c r="F617" s="37"/>
      <c r="G617" s="38"/>
      <c r="H617" s="38"/>
      <c r="I617" s="38"/>
      <c r="J617" s="38"/>
      <c r="K617" s="38"/>
      <c r="L617" s="38"/>
      <c r="M617" s="38"/>
      <c r="N617" s="39"/>
      <c r="O617" s="38"/>
      <c r="P617" s="30"/>
      <c r="Q617" s="35"/>
      <c r="R617" s="31"/>
      <c r="S617" s="31"/>
      <c r="T617" s="31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F617" s="31"/>
      <c r="AG617" s="31"/>
      <c r="AH617" s="31"/>
      <c r="AI617" s="31"/>
      <c r="AJ617" s="31"/>
    </row>
    <row r="618" customFormat="false" ht="14.25" hidden="false" customHeight="true" outlineLevel="0" collapsed="false">
      <c r="A618" s="116"/>
      <c r="B618" s="19"/>
      <c r="C618" s="19"/>
      <c r="D618" s="36"/>
      <c r="E618" s="19"/>
      <c r="F618" s="37"/>
      <c r="G618" s="38"/>
      <c r="H618" s="38"/>
      <c r="I618" s="38"/>
      <c r="J618" s="38"/>
      <c r="K618" s="38"/>
      <c r="L618" s="38"/>
      <c r="M618" s="38"/>
      <c r="N618" s="39"/>
      <c r="O618" s="38"/>
      <c r="P618" s="30"/>
      <c r="Q618" s="35"/>
      <c r="R618" s="31"/>
      <c r="S618" s="31"/>
      <c r="T618" s="31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F618" s="31"/>
      <c r="AG618" s="31"/>
      <c r="AH618" s="31"/>
      <c r="AI618" s="31"/>
      <c r="AJ618" s="31"/>
    </row>
    <row r="619" customFormat="false" ht="14.25" hidden="false" customHeight="true" outlineLevel="0" collapsed="false">
      <c r="A619" s="116"/>
      <c r="B619" s="19"/>
      <c r="C619" s="19"/>
      <c r="D619" s="36"/>
      <c r="E619" s="19"/>
      <c r="F619" s="37"/>
      <c r="G619" s="38"/>
      <c r="H619" s="38"/>
      <c r="I619" s="38"/>
      <c r="J619" s="38"/>
      <c r="K619" s="38"/>
      <c r="L619" s="38"/>
      <c r="M619" s="38"/>
      <c r="N619" s="39"/>
      <c r="O619" s="38"/>
      <c r="P619" s="30"/>
      <c r="Q619" s="35"/>
      <c r="R619" s="31"/>
      <c r="S619" s="31"/>
      <c r="T619" s="31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F619" s="31"/>
      <c r="AG619" s="31"/>
      <c r="AH619" s="31"/>
      <c r="AI619" s="31"/>
      <c r="AJ619" s="31"/>
    </row>
    <row r="620" customFormat="false" ht="14.25" hidden="false" customHeight="true" outlineLevel="0" collapsed="false">
      <c r="A620" s="116"/>
      <c r="B620" s="19"/>
      <c r="C620" s="19"/>
      <c r="D620" s="36"/>
      <c r="E620" s="19"/>
      <c r="F620" s="37"/>
      <c r="G620" s="38"/>
      <c r="H620" s="38"/>
      <c r="I620" s="38"/>
      <c r="J620" s="38"/>
      <c r="K620" s="38"/>
      <c r="L620" s="38"/>
      <c r="M620" s="38"/>
      <c r="N620" s="39"/>
      <c r="O620" s="38"/>
      <c r="P620" s="30"/>
      <c r="Q620" s="35"/>
      <c r="R620" s="31"/>
      <c r="S620" s="31"/>
      <c r="T620" s="31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F620" s="31"/>
      <c r="AG620" s="31"/>
      <c r="AH620" s="31"/>
      <c r="AI620" s="31"/>
      <c r="AJ620" s="31"/>
    </row>
    <row r="621" customFormat="false" ht="14.25" hidden="false" customHeight="true" outlineLevel="0" collapsed="false">
      <c r="A621" s="116"/>
      <c r="B621" s="19"/>
      <c r="C621" s="19"/>
      <c r="D621" s="36"/>
      <c r="E621" s="19"/>
      <c r="F621" s="37"/>
      <c r="G621" s="38"/>
      <c r="H621" s="38"/>
      <c r="I621" s="38"/>
      <c r="J621" s="38"/>
      <c r="K621" s="38"/>
      <c r="L621" s="38"/>
      <c r="M621" s="38"/>
      <c r="N621" s="39"/>
      <c r="O621" s="38"/>
      <c r="P621" s="30"/>
      <c r="Q621" s="35"/>
      <c r="R621" s="31"/>
      <c r="S621" s="31"/>
      <c r="T621" s="31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F621" s="31"/>
      <c r="AG621" s="31"/>
      <c r="AH621" s="31"/>
      <c r="AI621" s="31"/>
      <c r="AJ621" s="31"/>
    </row>
    <row r="622" customFormat="false" ht="14.25" hidden="false" customHeight="true" outlineLevel="0" collapsed="false">
      <c r="A622" s="116"/>
      <c r="B622" s="19"/>
      <c r="C622" s="19"/>
      <c r="D622" s="36"/>
      <c r="E622" s="19"/>
      <c r="F622" s="37"/>
      <c r="G622" s="38"/>
      <c r="H622" s="38"/>
      <c r="I622" s="38"/>
      <c r="J622" s="38"/>
      <c r="K622" s="38"/>
      <c r="L622" s="38"/>
      <c r="M622" s="38"/>
      <c r="N622" s="39"/>
      <c r="O622" s="38"/>
      <c r="P622" s="30"/>
      <c r="Q622" s="35"/>
      <c r="R622" s="31"/>
      <c r="S622" s="31"/>
      <c r="T622" s="31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F622" s="31"/>
      <c r="AG622" s="31"/>
      <c r="AH622" s="31"/>
      <c r="AI622" s="31"/>
      <c r="AJ622" s="31"/>
    </row>
    <row r="623" customFormat="false" ht="14.25" hidden="false" customHeight="true" outlineLevel="0" collapsed="false">
      <c r="A623" s="116"/>
      <c r="B623" s="19"/>
      <c r="C623" s="19"/>
      <c r="D623" s="36"/>
      <c r="E623" s="19"/>
      <c r="F623" s="37"/>
      <c r="G623" s="38"/>
      <c r="H623" s="38"/>
      <c r="I623" s="38"/>
      <c r="J623" s="38"/>
      <c r="K623" s="38"/>
      <c r="L623" s="38"/>
      <c r="M623" s="38"/>
      <c r="N623" s="39"/>
      <c r="O623" s="38"/>
      <c r="P623" s="30"/>
      <c r="Q623" s="35"/>
      <c r="R623" s="31"/>
      <c r="S623" s="31"/>
      <c r="T623" s="31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F623" s="31"/>
      <c r="AG623" s="31"/>
      <c r="AH623" s="31"/>
      <c r="AI623" s="31"/>
      <c r="AJ623" s="31"/>
    </row>
    <row r="624" customFormat="false" ht="14.25" hidden="false" customHeight="true" outlineLevel="0" collapsed="false">
      <c r="A624" s="116"/>
      <c r="B624" s="19"/>
      <c r="C624" s="19"/>
      <c r="D624" s="36"/>
      <c r="E624" s="19"/>
      <c r="F624" s="37"/>
      <c r="G624" s="38"/>
      <c r="H624" s="38"/>
      <c r="I624" s="38"/>
      <c r="J624" s="38"/>
      <c r="K624" s="38"/>
      <c r="L624" s="38"/>
      <c r="M624" s="38"/>
      <c r="N624" s="39"/>
      <c r="O624" s="38"/>
      <c r="P624" s="30"/>
      <c r="Q624" s="35"/>
      <c r="R624" s="31"/>
      <c r="S624" s="31"/>
      <c r="T624" s="31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F624" s="31"/>
      <c r="AG624" s="31"/>
      <c r="AH624" s="31"/>
      <c r="AI624" s="31"/>
      <c r="AJ624" s="31"/>
    </row>
    <row r="625" customFormat="false" ht="14.25" hidden="false" customHeight="true" outlineLevel="0" collapsed="false">
      <c r="A625" s="116"/>
      <c r="B625" s="19"/>
      <c r="C625" s="19"/>
      <c r="D625" s="36"/>
      <c r="E625" s="19"/>
      <c r="F625" s="37"/>
      <c r="G625" s="38"/>
      <c r="H625" s="38"/>
      <c r="I625" s="38"/>
      <c r="J625" s="38"/>
      <c r="K625" s="38"/>
      <c r="L625" s="38"/>
      <c r="M625" s="38"/>
      <c r="N625" s="39"/>
      <c r="O625" s="38"/>
      <c r="P625" s="30"/>
      <c r="Q625" s="35"/>
      <c r="R625" s="31"/>
      <c r="S625" s="31"/>
      <c r="T625" s="31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F625" s="31"/>
      <c r="AG625" s="31"/>
      <c r="AH625" s="31"/>
      <c r="AI625" s="31"/>
      <c r="AJ625" s="31"/>
    </row>
    <row r="626" customFormat="false" ht="14.25" hidden="false" customHeight="true" outlineLevel="0" collapsed="false">
      <c r="A626" s="116"/>
      <c r="B626" s="19"/>
      <c r="C626" s="19"/>
      <c r="D626" s="36"/>
      <c r="E626" s="19"/>
      <c r="F626" s="37"/>
      <c r="G626" s="38"/>
      <c r="H626" s="38"/>
      <c r="I626" s="38"/>
      <c r="J626" s="38"/>
      <c r="K626" s="38"/>
      <c r="L626" s="38"/>
      <c r="M626" s="38"/>
      <c r="N626" s="39"/>
      <c r="O626" s="38"/>
      <c r="P626" s="30"/>
      <c r="Q626" s="35"/>
      <c r="R626" s="31"/>
      <c r="S626" s="31"/>
      <c r="T626" s="31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F626" s="31"/>
      <c r="AG626" s="31"/>
      <c r="AH626" s="31"/>
      <c r="AI626" s="31"/>
      <c r="AJ626" s="31"/>
    </row>
    <row r="627" customFormat="false" ht="14.25" hidden="false" customHeight="true" outlineLevel="0" collapsed="false">
      <c r="A627" s="116"/>
      <c r="B627" s="19"/>
      <c r="C627" s="19"/>
      <c r="D627" s="36"/>
      <c r="E627" s="19"/>
      <c r="F627" s="37"/>
      <c r="G627" s="38"/>
      <c r="H627" s="38"/>
      <c r="I627" s="38"/>
      <c r="J627" s="38"/>
      <c r="K627" s="38"/>
      <c r="L627" s="38"/>
      <c r="M627" s="38"/>
      <c r="N627" s="39"/>
      <c r="O627" s="38"/>
      <c r="P627" s="30"/>
      <c r="Q627" s="35"/>
      <c r="R627" s="31"/>
      <c r="S627" s="31"/>
      <c r="T627" s="31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F627" s="31"/>
      <c r="AG627" s="31"/>
      <c r="AH627" s="31"/>
      <c r="AI627" s="31"/>
      <c r="AJ627" s="31"/>
    </row>
    <row r="628" customFormat="false" ht="14.25" hidden="false" customHeight="true" outlineLevel="0" collapsed="false">
      <c r="A628" s="116"/>
      <c r="B628" s="19"/>
      <c r="C628" s="19"/>
      <c r="D628" s="36"/>
      <c r="E628" s="19"/>
      <c r="F628" s="37"/>
      <c r="G628" s="38"/>
      <c r="H628" s="38"/>
      <c r="I628" s="38"/>
      <c r="J628" s="38"/>
      <c r="K628" s="38"/>
      <c r="L628" s="38"/>
      <c r="M628" s="38"/>
      <c r="N628" s="39"/>
      <c r="O628" s="38"/>
      <c r="P628" s="30"/>
      <c r="Q628" s="35"/>
      <c r="R628" s="31"/>
      <c r="S628" s="31"/>
      <c r="T628" s="31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F628" s="31"/>
      <c r="AG628" s="31"/>
      <c r="AH628" s="31"/>
      <c r="AI628" s="31"/>
      <c r="AJ628" s="31"/>
    </row>
    <row r="629" customFormat="false" ht="14.25" hidden="false" customHeight="true" outlineLevel="0" collapsed="false">
      <c r="A629" s="116"/>
      <c r="B629" s="19"/>
      <c r="C629" s="19"/>
      <c r="D629" s="36"/>
      <c r="E629" s="19"/>
      <c r="F629" s="37"/>
      <c r="G629" s="38"/>
      <c r="H629" s="38"/>
      <c r="I629" s="38"/>
      <c r="J629" s="38"/>
      <c r="K629" s="38"/>
      <c r="L629" s="38"/>
      <c r="M629" s="38"/>
      <c r="N629" s="39"/>
      <c r="O629" s="38"/>
      <c r="P629" s="30"/>
      <c r="Q629" s="35"/>
      <c r="R629" s="31"/>
      <c r="S629" s="31"/>
      <c r="T629" s="31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F629" s="31"/>
      <c r="AG629" s="31"/>
      <c r="AH629" s="31"/>
      <c r="AI629" s="31"/>
      <c r="AJ629" s="31"/>
    </row>
    <row r="630" customFormat="false" ht="14.25" hidden="false" customHeight="true" outlineLevel="0" collapsed="false">
      <c r="A630" s="116"/>
      <c r="B630" s="19"/>
      <c r="C630" s="19"/>
      <c r="D630" s="36"/>
      <c r="E630" s="19"/>
      <c r="F630" s="37"/>
      <c r="G630" s="38"/>
      <c r="H630" s="38"/>
      <c r="I630" s="38"/>
      <c r="J630" s="38"/>
      <c r="K630" s="38"/>
      <c r="L630" s="38"/>
      <c r="M630" s="38"/>
      <c r="N630" s="39"/>
      <c r="O630" s="38"/>
      <c r="P630" s="30"/>
      <c r="Q630" s="35"/>
      <c r="R630" s="31"/>
      <c r="S630" s="31"/>
      <c r="T630" s="31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F630" s="31"/>
      <c r="AG630" s="31"/>
      <c r="AH630" s="31"/>
      <c r="AI630" s="31"/>
      <c r="AJ630" s="31"/>
    </row>
    <row r="631" customFormat="false" ht="14.25" hidden="false" customHeight="true" outlineLevel="0" collapsed="false">
      <c r="A631" s="116"/>
      <c r="B631" s="19"/>
      <c r="C631" s="19"/>
      <c r="D631" s="36"/>
      <c r="E631" s="19"/>
      <c r="F631" s="37"/>
      <c r="G631" s="38"/>
      <c r="H631" s="38"/>
      <c r="I631" s="38"/>
      <c r="J631" s="38"/>
      <c r="K631" s="38"/>
      <c r="L631" s="38"/>
      <c r="M631" s="38"/>
      <c r="N631" s="39"/>
      <c r="O631" s="38"/>
      <c r="P631" s="30"/>
      <c r="Q631" s="35"/>
      <c r="R631" s="31"/>
      <c r="S631" s="31"/>
      <c r="T631" s="31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F631" s="31"/>
      <c r="AG631" s="31"/>
      <c r="AH631" s="31"/>
      <c r="AI631" s="31"/>
      <c r="AJ631" s="31"/>
    </row>
    <row r="632" customFormat="false" ht="14.25" hidden="false" customHeight="true" outlineLevel="0" collapsed="false">
      <c r="A632" s="116"/>
      <c r="B632" s="19"/>
      <c r="C632" s="19"/>
      <c r="D632" s="36"/>
      <c r="E632" s="19"/>
      <c r="F632" s="37"/>
      <c r="G632" s="38"/>
      <c r="H632" s="38"/>
      <c r="I632" s="38"/>
      <c r="J632" s="38"/>
      <c r="K632" s="38"/>
      <c r="L632" s="38"/>
      <c r="M632" s="38"/>
      <c r="N632" s="39"/>
      <c r="O632" s="38"/>
      <c r="P632" s="30"/>
      <c r="Q632" s="35"/>
      <c r="R632" s="31"/>
      <c r="S632" s="31"/>
      <c r="T632" s="31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F632" s="31"/>
      <c r="AG632" s="31"/>
      <c r="AH632" s="31"/>
      <c r="AI632" s="31"/>
      <c r="AJ632" s="31"/>
    </row>
    <row r="633" customFormat="false" ht="14.25" hidden="false" customHeight="true" outlineLevel="0" collapsed="false">
      <c r="A633" s="116"/>
      <c r="B633" s="19"/>
      <c r="C633" s="19"/>
      <c r="D633" s="36"/>
      <c r="E633" s="19"/>
      <c r="F633" s="37"/>
      <c r="G633" s="38"/>
      <c r="H633" s="38"/>
      <c r="I633" s="38"/>
      <c r="J633" s="38"/>
      <c r="K633" s="38"/>
      <c r="L633" s="38"/>
      <c r="M633" s="38"/>
      <c r="N633" s="39"/>
      <c r="O633" s="38"/>
      <c r="P633" s="30"/>
      <c r="Q633" s="35"/>
      <c r="R633" s="31"/>
      <c r="S633" s="31"/>
      <c r="T633" s="31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F633" s="31"/>
      <c r="AG633" s="31"/>
      <c r="AH633" s="31"/>
      <c r="AI633" s="31"/>
      <c r="AJ633" s="31"/>
    </row>
    <row r="634" customFormat="false" ht="14.25" hidden="false" customHeight="true" outlineLevel="0" collapsed="false">
      <c r="A634" s="116"/>
      <c r="B634" s="19"/>
      <c r="C634" s="19"/>
      <c r="D634" s="36"/>
      <c r="E634" s="19"/>
      <c r="F634" s="37"/>
      <c r="G634" s="38"/>
      <c r="H634" s="38"/>
      <c r="I634" s="38"/>
      <c r="J634" s="38"/>
      <c r="K634" s="38"/>
      <c r="L634" s="38"/>
      <c r="M634" s="38"/>
      <c r="N634" s="39"/>
      <c r="O634" s="38"/>
      <c r="P634" s="30"/>
      <c r="Q634" s="35"/>
      <c r="R634" s="31"/>
      <c r="S634" s="31"/>
      <c r="T634" s="31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F634" s="31"/>
      <c r="AG634" s="31"/>
      <c r="AH634" s="31"/>
      <c r="AI634" s="31"/>
      <c r="AJ634" s="31"/>
    </row>
    <row r="635" customFormat="false" ht="14.25" hidden="false" customHeight="true" outlineLevel="0" collapsed="false">
      <c r="A635" s="116"/>
      <c r="B635" s="19"/>
      <c r="C635" s="19"/>
      <c r="D635" s="36"/>
      <c r="E635" s="19"/>
      <c r="F635" s="37"/>
      <c r="G635" s="38"/>
      <c r="H635" s="38"/>
      <c r="I635" s="38"/>
      <c r="J635" s="38"/>
      <c r="K635" s="38"/>
      <c r="L635" s="38"/>
      <c r="M635" s="38"/>
      <c r="N635" s="39"/>
      <c r="O635" s="38"/>
      <c r="P635" s="30"/>
      <c r="Q635" s="35"/>
      <c r="R635" s="31"/>
      <c r="S635" s="31"/>
      <c r="T635" s="31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F635" s="31"/>
      <c r="AG635" s="31"/>
      <c r="AH635" s="31"/>
      <c r="AI635" s="31"/>
      <c r="AJ635" s="31"/>
    </row>
    <row r="636" customFormat="false" ht="14.25" hidden="false" customHeight="true" outlineLevel="0" collapsed="false">
      <c r="A636" s="116"/>
      <c r="B636" s="19"/>
      <c r="C636" s="19"/>
      <c r="D636" s="36"/>
      <c r="E636" s="19"/>
      <c r="F636" s="37"/>
      <c r="G636" s="38"/>
      <c r="H636" s="38"/>
      <c r="I636" s="38"/>
      <c r="J636" s="38"/>
      <c r="K636" s="38"/>
      <c r="L636" s="38"/>
      <c r="M636" s="38"/>
      <c r="N636" s="39"/>
      <c r="O636" s="38"/>
      <c r="P636" s="30"/>
      <c r="Q636" s="35"/>
      <c r="R636" s="31"/>
      <c r="S636" s="31"/>
      <c r="T636" s="31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F636" s="31"/>
      <c r="AG636" s="31"/>
      <c r="AH636" s="31"/>
      <c r="AI636" s="31"/>
      <c r="AJ636" s="31"/>
    </row>
    <row r="637" customFormat="false" ht="14.25" hidden="false" customHeight="true" outlineLevel="0" collapsed="false">
      <c r="A637" s="116"/>
      <c r="B637" s="19"/>
      <c r="C637" s="19"/>
      <c r="D637" s="36"/>
      <c r="E637" s="19"/>
      <c r="F637" s="37"/>
      <c r="G637" s="38"/>
      <c r="H637" s="38"/>
      <c r="I637" s="38"/>
      <c r="J637" s="38"/>
      <c r="K637" s="38"/>
      <c r="L637" s="38"/>
      <c r="M637" s="38"/>
      <c r="N637" s="39"/>
      <c r="O637" s="38"/>
      <c r="P637" s="30"/>
      <c r="Q637" s="35"/>
      <c r="R637" s="31"/>
      <c r="S637" s="31"/>
      <c r="T637" s="31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F637" s="31"/>
      <c r="AG637" s="31"/>
      <c r="AH637" s="31"/>
      <c r="AI637" s="31"/>
      <c r="AJ637" s="31"/>
    </row>
    <row r="638" customFormat="false" ht="14.25" hidden="false" customHeight="true" outlineLevel="0" collapsed="false">
      <c r="A638" s="116"/>
      <c r="B638" s="19"/>
      <c r="C638" s="19"/>
      <c r="D638" s="36"/>
      <c r="E638" s="19"/>
      <c r="F638" s="37"/>
      <c r="G638" s="38"/>
      <c r="H638" s="38"/>
      <c r="I638" s="38"/>
      <c r="J638" s="38"/>
      <c r="K638" s="38"/>
      <c r="L638" s="38"/>
      <c r="M638" s="38"/>
      <c r="N638" s="39"/>
      <c r="O638" s="38"/>
      <c r="P638" s="30"/>
      <c r="Q638" s="35"/>
      <c r="R638" s="31"/>
      <c r="S638" s="31"/>
      <c r="T638" s="31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F638" s="31"/>
      <c r="AG638" s="31"/>
      <c r="AH638" s="31"/>
      <c r="AI638" s="31"/>
      <c r="AJ638" s="31"/>
    </row>
    <row r="639" customFormat="false" ht="14.25" hidden="false" customHeight="true" outlineLevel="0" collapsed="false">
      <c r="A639" s="116"/>
      <c r="B639" s="19"/>
      <c r="C639" s="19"/>
      <c r="D639" s="36"/>
      <c r="E639" s="19"/>
      <c r="F639" s="37"/>
      <c r="G639" s="38"/>
      <c r="H639" s="38"/>
      <c r="I639" s="38"/>
      <c r="J639" s="38"/>
      <c r="K639" s="38"/>
      <c r="L639" s="38"/>
      <c r="M639" s="38"/>
      <c r="N639" s="39"/>
      <c r="O639" s="38"/>
      <c r="P639" s="30"/>
      <c r="Q639" s="35"/>
      <c r="R639" s="31"/>
      <c r="S639" s="31"/>
      <c r="T639" s="31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F639" s="31"/>
      <c r="AG639" s="31"/>
      <c r="AH639" s="31"/>
      <c r="AI639" s="31"/>
      <c r="AJ639" s="31"/>
    </row>
    <row r="640" customFormat="false" ht="14.25" hidden="false" customHeight="true" outlineLevel="0" collapsed="false">
      <c r="A640" s="116"/>
      <c r="B640" s="19"/>
      <c r="C640" s="19"/>
      <c r="D640" s="36"/>
      <c r="E640" s="19"/>
      <c r="F640" s="37"/>
      <c r="G640" s="38"/>
      <c r="H640" s="38"/>
      <c r="I640" s="38"/>
      <c r="J640" s="38"/>
      <c r="K640" s="38"/>
      <c r="L640" s="38"/>
      <c r="M640" s="38"/>
      <c r="N640" s="39"/>
      <c r="O640" s="38"/>
      <c r="P640" s="30"/>
      <c r="Q640" s="35"/>
      <c r="R640" s="31"/>
      <c r="S640" s="31"/>
      <c r="T640" s="31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F640" s="31"/>
      <c r="AG640" s="31"/>
      <c r="AH640" s="31"/>
      <c r="AI640" s="31"/>
      <c r="AJ640" s="31"/>
    </row>
    <row r="641" customFormat="false" ht="14.25" hidden="false" customHeight="true" outlineLevel="0" collapsed="false">
      <c r="A641" s="116"/>
      <c r="B641" s="19"/>
      <c r="C641" s="19"/>
      <c r="D641" s="36"/>
      <c r="E641" s="19"/>
      <c r="F641" s="37"/>
      <c r="G641" s="38"/>
      <c r="H641" s="38"/>
      <c r="I641" s="38"/>
      <c r="J641" s="38"/>
      <c r="K641" s="38"/>
      <c r="L641" s="38"/>
      <c r="M641" s="38"/>
      <c r="N641" s="39"/>
      <c r="O641" s="38"/>
      <c r="P641" s="30"/>
      <c r="Q641" s="35"/>
      <c r="R641" s="31"/>
      <c r="S641" s="31"/>
      <c r="T641" s="31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F641" s="31"/>
      <c r="AG641" s="31"/>
      <c r="AH641" s="31"/>
      <c r="AI641" s="31"/>
      <c r="AJ641" s="31"/>
    </row>
    <row r="642" customFormat="false" ht="14.25" hidden="false" customHeight="true" outlineLevel="0" collapsed="false">
      <c r="A642" s="116"/>
      <c r="B642" s="19"/>
      <c r="C642" s="19"/>
      <c r="D642" s="36"/>
      <c r="E642" s="19"/>
      <c r="F642" s="37"/>
      <c r="G642" s="38"/>
      <c r="H642" s="38"/>
      <c r="I642" s="38"/>
      <c r="J642" s="38"/>
      <c r="K642" s="38"/>
      <c r="L642" s="38"/>
      <c r="M642" s="38"/>
      <c r="N642" s="39"/>
      <c r="O642" s="38"/>
      <c r="P642" s="30"/>
      <c r="Q642" s="35"/>
      <c r="R642" s="31"/>
      <c r="S642" s="31"/>
      <c r="T642" s="31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F642" s="31"/>
      <c r="AG642" s="31"/>
      <c r="AH642" s="31"/>
      <c r="AI642" s="31"/>
      <c r="AJ642" s="31"/>
    </row>
    <row r="643" customFormat="false" ht="14.25" hidden="false" customHeight="true" outlineLevel="0" collapsed="false">
      <c r="A643" s="116"/>
      <c r="B643" s="19"/>
      <c r="C643" s="19"/>
      <c r="D643" s="36"/>
      <c r="E643" s="19"/>
      <c r="F643" s="37"/>
      <c r="G643" s="38"/>
      <c r="H643" s="38"/>
      <c r="I643" s="38"/>
      <c r="J643" s="38"/>
      <c r="K643" s="38"/>
      <c r="L643" s="38"/>
      <c r="M643" s="38"/>
      <c r="N643" s="39"/>
      <c r="O643" s="38"/>
      <c r="P643" s="30"/>
      <c r="Q643" s="35"/>
      <c r="R643" s="31"/>
      <c r="S643" s="31"/>
      <c r="T643" s="31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F643" s="31"/>
      <c r="AG643" s="31"/>
      <c r="AH643" s="31"/>
      <c r="AI643" s="31"/>
      <c r="AJ643" s="31"/>
    </row>
    <row r="644" customFormat="false" ht="14.25" hidden="false" customHeight="true" outlineLevel="0" collapsed="false">
      <c r="A644" s="116"/>
      <c r="B644" s="19"/>
      <c r="C644" s="19"/>
      <c r="D644" s="36"/>
      <c r="E644" s="19"/>
      <c r="F644" s="37"/>
      <c r="G644" s="38"/>
      <c r="H644" s="38"/>
      <c r="I644" s="38"/>
      <c r="J644" s="38"/>
      <c r="K644" s="38"/>
      <c r="L644" s="38"/>
      <c r="M644" s="38"/>
      <c r="N644" s="39"/>
      <c r="O644" s="38"/>
      <c r="P644" s="30"/>
      <c r="Q644" s="35"/>
      <c r="R644" s="31"/>
      <c r="S644" s="31"/>
      <c r="T644" s="31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F644" s="31"/>
      <c r="AG644" s="31"/>
      <c r="AH644" s="31"/>
      <c r="AI644" s="31"/>
      <c r="AJ644" s="31"/>
    </row>
    <row r="645" customFormat="false" ht="14.25" hidden="false" customHeight="true" outlineLevel="0" collapsed="false">
      <c r="A645" s="116"/>
      <c r="B645" s="19"/>
      <c r="C645" s="19"/>
      <c r="D645" s="36"/>
      <c r="E645" s="19"/>
      <c r="F645" s="37"/>
      <c r="G645" s="38"/>
      <c r="H645" s="38"/>
      <c r="I645" s="38"/>
      <c r="J645" s="38"/>
      <c r="K645" s="38"/>
      <c r="L645" s="38"/>
      <c r="M645" s="38"/>
      <c r="N645" s="39"/>
      <c r="O645" s="38"/>
      <c r="P645" s="30"/>
      <c r="Q645" s="35"/>
      <c r="R645" s="31"/>
      <c r="S645" s="31"/>
      <c r="T645" s="31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F645" s="31"/>
      <c r="AG645" s="31"/>
      <c r="AH645" s="31"/>
      <c r="AI645" s="31"/>
      <c r="AJ645" s="31"/>
    </row>
    <row r="646" customFormat="false" ht="14.25" hidden="false" customHeight="true" outlineLevel="0" collapsed="false">
      <c r="A646" s="116"/>
      <c r="B646" s="19"/>
      <c r="C646" s="19"/>
      <c r="D646" s="36"/>
      <c r="E646" s="19"/>
      <c r="F646" s="37"/>
      <c r="G646" s="38"/>
      <c r="H646" s="38"/>
      <c r="I646" s="38"/>
      <c r="J646" s="38"/>
      <c r="K646" s="38"/>
      <c r="L646" s="38"/>
      <c r="M646" s="38"/>
      <c r="N646" s="39"/>
      <c r="O646" s="38"/>
      <c r="P646" s="30"/>
      <c r="Q646" s="35"/>
      <c r="R646" s="31"/>
      <c r="S646" s="31"/>
      <c r="T646" s="31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F646" s="31"/>
      <c r="AG646" s="31"/>
      <c r="AH646" s="31"/>
      <c r="AI646" s="31"/>
      <c r="AJ646" s="31"/>
    </row>
    <row r="647" customFormat="false" ht="14.25" hidden="false" customHeight="true" outlineLevel="0" collapsed="false">
      <c r="A647" s="116"/>
      <c r="B647" s="19"/>
      <c r="C647" s="19"/>
      <c r="D647" s="36"/>
      <c r="E647" s="19"/>
      <c r="F647" s="37"/>
      <c r="G647" s="38"/>
      <c r="H647" s="38"/>
      <c r="I647" s="38"/>
      <c r="J647" s="38"/>
      <c r="K647" s="38"/>
      <c r="L647" s="38"/>
      <c r="M647" s="38"/>
      <c r="N647" s="39"/>
      <c r="O647" s="38"/>
      <c r="P647" s="30"/>
      <c r="Q647" s="35"/>
      <c r="R647" s="31"/>
      <c r="S647" s="31"/>
      <c r="T647" s="31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F647" s="31"/>
      <c r="AG647" s="31"/>
      <c r="AH647" s="31"/>
      <c r="AI647" s="31"/>
      <c r="AJ647" s="31"/>
    </row>
    <row r="648" customFormat="false" ht="14.25" hidden="false" customHeight="true" outlineLevel="0" collapsed="false">
      <c r="A648" s="116"/>
      <c r="B648" s="19"/>
      <c r="C648" s="19"/>
      <c r="D648" s="36"/>
      <c r="E648" s="19"/>
      <c r="F648" s="37"/>
      <c r="G648" s="38"/>
      <c r="H648" s="38"/>
      <c r="I648" s="38"/>
      <c r="J648" s="38"/>
      <c r="K648" s="38"/>
      <c r="L648" s="38"/>
      <c r="M648" s="38"/>
      <c r="N648" s="39"/>
      <c r="O648" s="38"/>
      <c r="P648" s="30"/>
      <c r="Q648" s="35"/>
      <c r="R648" s="31"/>
      <c r="S648" s="31"/>
      <c r="T648" s="31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F648" s="31"/>
      <c r="AG648" s="31"/>
      <c r="AH648" s="31"/>
      <c r="AI648" s="31"/>
      <c r="AJ648" s="31"/>
    </row>
    <row r="649" customFormat="false" ht="14.25" hidden="false" customHeight="true" outlineLevel="0" collapsed="false">
      <c r="A649" s="116"/>
      <c r="B649" s="19"/>
      <c r="C649" s="19"/>
      <c r="D649" s="36"/>
      <c r="E649" s="19"/>
      <c r="F649" s="37"/>
      <c r="G649" s="38"/>
      <c r="H649" s="38"/>
      <c r="I649" s="38"/>
      <c r="J649" s="38"/>
      <c r="K649" s="38"/>
      <c r="L649" s="38"/>
      <c r="M649" s="38"/>
      <c r="N649" s="39"/>
      <c r="O649" s="38"/>
      <c r="P649" s="30"/>
      <c r="Q649" s="35"/>
      <c r="R649" s="31"/>
      <c r="S649" s="31"/>
      <c r="T649" s="31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F649" s="31"/>
      <c r="AG649" s="31"/>
      <c r="AH649" s="31"/>
      <c r="AI649" s="31"/>
      <c r="AJ649" s="31"/>
    </row>
    <row r="650" customFormat="false" ht="14.25" hidden="false" customHeight="true" outlineLevel="0" collapsed="false">
      <c r="A650" s="116"/>
      <c r="B650" s="19"/>
      <c r="C650" s="19"/>
      <c r="D650" s="36"/>
      <c r="E650" s="19"/>
      <c r="F650" s="37"/>
      <c r="G650" s="38"/>
      <c r="H650" s="38"/>
      <c r="I650" s="38"/>
      <c r="J650" s="38"/>
      <c r="K650" s="38"/>
      <c r="L650" s="38"/>
      <c r="M650" s="38"/>
      <c r="N650" s="39"/>
      <c r="O650" s="38"/>
      <c r="P650" s="30"/>
      <c r="Q650" s="35"/>
      <c r="R650" s="31"/>
      <c r="S650" s="31"/>
      <c r="T650" s="31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F650" s="31"/>
      <c r="AG650" s="31"/>
      <c r="AH650" s="31"/>
      <c r="AI650" s="31"/>
      <c r="AJ650" s="31"/>
    </row>
    <row r="651" customFormat="false" ht="14.25" hidden="false" customHeight="true" outlineLevel="0" collapsed="false">
      <c r="A651" s="116"/>
      <c r="B651" s="19"/>
      <c r="C651" s="19"/>
      <c r="D651" s="36"/>
      <c r="E651" s="19"/>
      <c r="F651" s="37"/>
      <c r="G651" s="38"/>
      <c r="H651" s="38"/>
      <c r="I651" s="38"/>
      <c r="J651" s="38"/>
      <c r="K651" s="38"/>
      <c r="L651" s="38"/>
      <c r="M651" s="38"/>
      <c r="N651" s="39"/>
      <c r="O651" s="38"/>
      <c r="P651" s="30"/>
      <c r="Q651" s="35"/>
      <c r="R651" s="31"/>
      <c r="S651" s="31"/>
      <c r="T651" s="31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F651" s="31"/>
      <c r="AG651" s="31"/>
      <c r="AH651" s="31"/>
      <c r="AI651" s="31"/>
      <c r="AJ651" s="31"/>
    </row>
    <row r="652" customFormat="false" ht="14.25" hidden="false" customHeight="true" outlineLevel="0" collapsed="false">
      <c r="A652" s="116"/>
      <c r="B652" s="19"/>
      <c r="C652" s="19"/>
      <c r="D652" s="36"/>
      <c r="E652" s="19"/>
      <c r="F652" s="37"/>
      <c r="G652" s="38"/>
      <c r="H652" s="38"/>
      <c r="I652" s="38"/>
      <c r="J652" s="38"/>
      <c r="K652" s="38"/>
      <c r="L652" s="38"/>
      <c r="M652" s="38"/>
      <c r="N652" s="39"/>
      <c r="O652" s="38"/>
      <c r="P652" s="30"/>
      <c r="Q652" s="35"/>
      <c r="R652" s="31"/>
      <c r="S652" s="31"/>
      <c r="T652" s="31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F652" s="31"/>
      <c r="AG652" s="31"/>
      <c r="AH652" s="31"/>
      <c r="AI652" s="31"/>
      <c r="AJ652" s="31"/>
    </row>
    <row r="653" customFormat="false" ht="14.25" hidden="false" customHeight="true" outlineLevel="0" collapsed="false">
      <c r="A653" s="116"/>
      <c r="B653" s="19"/>
      <c r="C653" s="19"/>
      <c r="D653" s="36"/>
      <c r="E653" s="19"/>
      <c r="F653" s="37"/>
      <c r="G653" s="38"/>
      <c r="H653" s="38"/>
      <c r="I653" s="38"/>
      <c r="J653" s="38"/>
      <c r="K653" s="38"/>
      <c r="L653" s="38"/>
      <c r="M653" s="38"/>
      <c r="N653" s="39"/>
      <c r="O653" s="38"/>
      <c r="P653" s="30"/>
      <c r="Q653" s="35"/>
      <c r="R653" s="31"/>
      <c r="S653" s="31"/>
      <c r="T653" s="31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F653" s="31"/>
      <c r="AG653" s="31"/>
      <c r="AH653" s="31"/>
      <c r="AI653" s="31"/>
      <c r="AJ653" s="31"/>
    </row>
    <row r="654" customFormat="false" ht="14.25" hidden="false" customHeight="true" outlineLevel="0" collapsed="false">
      <c r="A654" s="116"/>
      <c r="B654" s="19"/>
      <c r="C654" s="19"/>
      <c r="D654" s="36"/>
      <c r="E654" s="19"/>
      <c r="F654" s="37"/>
      <c r="G654" s="38"/>
      <c r="H654" s="38"/>
      <c r="I654" s="38"/>
      <c r="J654" s="38"/>
      <c r="K654" s="38"/>
      <c r="L654" s="38"/>
      <c r="M654" s="38"/>
      <c r="N654" s="39"/>
      <c r="O654" s="38"/>
      <c r="P654" s="30"/>
      <c r="Q654" s="35"/>
      <c r="R654" s="31"/>
      <c r="S654" s="31"/>
      <c r="T654" s="31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F654" s="31"/>
      <c r="AG654" s="31"/>
      <c r="AH654" s="31"/>
      <c r="AI654" s="31"/>
      <c r="AJ654" s="31"/>
    </row>
    <row r="655" customFormat="false" ht="14.25" hidden="false" customHeight="true" outlineLevel="0" collapsed="false">
      <c r="A655" s="116"/>
      <c r="B655" s="19"/>
      <c r="C655" s="19"/>
      <c r="D655" s="36"/>
      <c r="E655" s="19"/>
      <c r="F655" s="37"/>
      <c r="G655" s="38"/>
      <c r="H655" s="38"/>
      <c r="I655" s="38"/>
      <c r="J655" s="38"/>
      <c r="K655" s="38"/>
      <c r="L655" s="38"/>
      <c r="M655" s="38"/>
      <c r="N655" s="39"/>
      <c r="O655" s="38"/>
      <c r="P655" s="30"/>
      <c r="Q655" s="35"/>
      <c r="R655" s="31"/>
      <c r="S655" s="31"/>
      <c r="T655" s="31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F655" s="31"/>
      <c r="AG655" s="31"/>
      <c r="AH655" s="31"/>
      <c r="AI655" s="31"/>
      <c r="AJ655" s="31"/>
    </row>
    <row r="656" customFormat="false" ht="14.25" hidden="false" customHeight="true" outlineLevel="0" collapsed="false">
      <c r="A656" s="116"/>
      <c r="B656" s="19"/>
      <c r="C656" s="19"/>
      <c r="D656" s="36"/>
      <c r="E656" s="19"/>
      <c r="F656" s="37"/>
      <c r="G656" s="38"/>
      <c r="H656" s="38"/>
      <c r="I656" s="38"/>
      <c r="J656" s="38"/>
      <c r="K656" s="38"/>
      <c r="L656" s="38"/>
      <c r="M656" s="38"/>
      <c r="N656" s="39"/>
      <c r="O656" s="38"/>
      <c r="P656" s="30"/>
      <c r="Q656" s="35"/>
      <c r="R656" s="31"/>
      <c r="S656" s="31"/>
      <c r="T656" s="31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F656" s="31"/>
      <c r="AG656" s="31"/>
      <c r="AH656" s="31"/>
      <c r="AI656" s="31"/>
      <c r="AJ656" s="31"/>
    </row>
    <row r="657" customFormat="false" ht="14.25" hidden="false" customHeight="true" outlineLevel="0" collapsed="false">
      <c r="A657" s="116"/>
      <c r="B657" s="19"/>
      <c r="C657" s="19"/>
      <c r="D657" s="36"/>
      <c r="E657" s="19"/>
      <c r="F657" s="37"/>
      <c r="G657" s="38"/>
      <c r="H657" s="38"/>
      <c r="I657" s="38"/>
      <c r="J657" s="38"/>
      <c r="K657" s="38"/>
      <c r="L657" s="38"/>
      <c r="M657" s="38"/>
      <c r="N657" s="39"/>
      <c r="O657" s="38"/>
      <c r="P657" s="30"/>
      <c r="Q657" s="35"/>
      <c r="R657" s="31"/>
      <c r="S657" s="31"/>
      <c r="T657" s="31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F657" s="31"/>
      <c r="AG657" s="31"/>
      <c r="AH657" s="31"/>
      <c r="AI657" s="31"/>
      <c r="AJ657" s="31"/>
    </row>
    <row r="658" customFormat="false" ht="14.25" hidden="false" customHeight="true" outlineLevel="0" collapsed="false">
      <c r="A658" s="116"/>
      <c r="B658" s="19"/>
      <c r="C658" s="19"/>
      <c r="D658" s="36"/>
      <c r="E658" s="19"/>
      <c r="F658" s="37"/>
      <c r="G658" s="38"/>
      <c r="H658" s="38"/>
      <c r="I658" s="38"/>
      <c r="J658" s="38"/>
      <c r="K658" s="38"/>
      <c r="L658" s="38"/>
      <c r="M658" s="38"/>
      <c r="N658" s="39"/>
      <c r="O658" s="38"/>
      <c r="P658" s="30"/>
      <c r="Q658" s="35"/>
      <c r="R658" s="31"/>
      <c r="S658" s="31"/>
      <c r="T658" s="31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F658" s="31"/>
      <c r="AG658" s="31"/>
      <c r="AH658" s="31"/>
      <c r="AI658" s="31"/>
      <c r="AJ658" s="31"/>
    </row>
    <row r="659" customFormat="false" ht="14.25" hidden="false" customHeight="true" outlineLevel="0" collapsed="false">
      <c r="A659" s="116"/>
      <c r="B659" s="19"/>
      <c r="C659" s="19"/>
      <c r="D659" s="36"/>
      <c r="E659" s="19"/>
      <c r="F659" s="37"/>
      <c r="G659" s="38"/>
      <c r="H659" s="38"/>
      <c r="I659" s="38"/>
      <c r="J659" s="38"/>
      <c r="K659" s="38"/>
      <c r="L659" s="38"/>
      <c r="M659" s="38"/>
      <c r="N659" s="39"/>
      <c r="O659" s="38"/>
      <c r="P659" s="30"/>
      <c r="Q659" s="35"/>
      <c r="R659" s="31"/>
      <c r="S659" s="31"/>
      <c r="T659" s="31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F659" s="31"/>
      <c r="AG659" s="31"/>
      <c r="AH659" s="31"/>
      <c r="AI659" s="31"/>
      <c r="AJ659" s="31"/>
    </row>
    <row r="660" customFormat="false" ht="14.25" hidden="false" customHeight="true" outlineLevel="0" collapsed="false">
      <c r="A660" s="116"/>
      <c r="B660" s="19"/>
      <c r="C660" s="19"/>
      <c r="D660" s="36"/>
      <c r="E660" s="19"/>
      <c r="F660" s="37"/>
      <c r="G660" s="38"/>
      <c r="H660" s="38"/>
      <c r="I660" s="38"/>
      <c r="J660" s="38"/>
      <c r="K660" s="38"/>
      <c r="L660" s="38"/>
      <c r="M660" s="38"/>
      <c r="N660" s="39"/>
      <c r="O660" s="38"/>
      <c r="P660" s="30"/>
      <c r="Q660" s="35"/>
      <c r="R660" s="31"/>
      <c r="S660" s="31"/>
      <c r="T660" s="31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F660" s="31"/>
      <c r="AG660" s="31"/>
      <c r="AH660" s="31"/>
      <c r="AI660" s="31"/>
      <c r="AJ660" s="31"/>
    </row>
    <row r="661" customFormat="false" ht="14.25" hidden="false" customHeight="true" outlineLevel="0" collapsed="false">
      <c r="A661" s="116"/>
      <c r="B661" s="19"/>
      <c r="C661" s="19"/>
      <c r="D661" s="36"/>
      <c r="E661" s="19"/>
      <c r="F661" s="37"/>
      <c r="G661" s="38"/>
      <c r="H661" s="38"/>
      <c r="I661" s="38"/>
      <c r="J661" s="38"/>
      <c r="K661" s="38"/>
      <c r="L661" s="38"/>
      <c r="M661" s="38"/>
      <c r="N661" s="39"/>
      <c r="O661" s="38"/>
      <c r="P661" s="30"/>
      <c r="Q661" s="35"/>
      <c r="R661" s="31"/>
      <c r="S661" s="31"/>
      <c r="T661" s="31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F661" s="31"/>
      <c r="AG661" s="31"/>
      <c r="AH661" s="31"/>
      <c r="AI661" s="31"/>
      <c r="AJ661" s="31"/>
    </row>
    <row r="662" customFormat="false" ht="14.25" hidden="false" customHeight="true" outlineLevel="0" collapsed="false">
      <c r="A662" s="116"/>
      <c r="B662" s="19"/>
      <c r="C662" s="19"/>
      <c r="D662" s="36"/>
      <c r="E662" s="19"/>
      <c r="F662" s="37"/>
      <c r="G662" s="38"/>
      <c r="H662" s="38"/>
      <c r="I662" s="38"/>
      <c r="J662" s="38"/>
      <c r="K662" s="38"/>
      <c r="L662" s="38"/>
      <c r="M662" s="38"/>
      <c r="N662" s="39"/>
      <c r="O662" s="38"/>
      <c r="P662" s="30"/>
      <c r="Q662" s="35"/>
      <c r="R662" s="31"/>
      <c r="S662" s="31"/>
      <c r="T662" s="31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F662" s="31"/>
      <c r="AG662" s="31"/>
      <c r="AH662" s="31"/>
      <c r="AI662" s="31"/>
      <c r="AJ662" s="31"/>
    </row>
    <row r="663" customFormat="false" ht="14.25" hidden="false" customHeight="true" outlineLevel="0" collapsed="false">
      <c r="A663" s="116"/>
      <c r="B663" s="19"/>
      <c r="C663" s="19"/>
      <c r="D663" s="36"/>
      <c r="E663" s="19"/>
      <c r="F663" s="37"/>
      <c r="G663" s="38"/>
      <c r="H663" s="38"/>
      <c r="I663" s="38"/>
      <c r="J663" s="38"/>
      <c r="K663" s="38"/>
      <c r="L663" s="38"/>
      <c r="M663" s="38"/>
      <c r="N663" s="39"/>
      <c r="O663" s="38"/>
      <c r="P663" s="30"/>
      <c r="Q663" s="35"/>
      <c r="R663" s="31"/>
      <c r="S663" s="31"/>
      <c r="T663" s="31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F663" s="31"/>
      <c r="AG663" s="31"/>
      <c r="AH663" s="31"/>
      <c r="AI663" s="31"/>
      <c r="AJ663" s="31"/>
    </row>
    <row r="664" customFormat="false" ht="14.25" hidden="false" customHeight="true" outlineLevel="0" collapsed="false">
      <c r="A664" s="116"/>
      <c r="B664" s="19"/>
      <c r="C664" s="19"/>
      <c r="D664" s="36"/>
      <c r="E664" s="19"/>
      <c r="F664" s="37"/>
      <c r="G664" s="38"/>
      <c r="H664" s="38"/>
      <c r="I664" s="38"/>
      <c r="J664" s="38"/>
      <c r="K664" s="38"/>
      <c r="L664" s="38"/>
      <c r="M664" s="38"/>
      <c r="N664" s="39"/>
      <c r="O664" s="38"/>
      <c r="P664" s="30"/>
      <c r="Q664" s="35"/>
      <c r="R664" s="31"/>
      <c r="S664" s="31"/>
      <c r="T664" s="31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F664" s="31"/>
      <c r="AG664" s="31"/>
      <c r="AH664" s="31"/>
      <c r="AI664" s="31"/>
      <c r="AJ664" s="31"/>
    </row>
    <row r="665" customFormat="false" ht="14.25" hidden="false" customHeight="true" outlineLevel="0" collapsed="false">
      <c r="A665" s="116"/>
      <c r="B665" s="19"/>
      <c r="C665" s="19"/>
      <c r="D665" s="36"/>
      <c r="E665" s="19"/>
      <c r="F665" s="37"/>
      <c r="G665" s="38"/>
      <c r="H665" s="38"/>
      <c r="I665" s="38"/>
      <c r="J665" s="38"/>
      <c r="K665" s="38"/>
      <c r="L665" s="38"/>
      <c r="M665" s="38"/>
      <c r="N665" s="39"/>
      <c r="O665" s="38"/>
      <c r="P665" s="30"/>
      <c r="Q665" s="35"/>
      <c r="R665" s="31"/>
      <c r="S665" s="31"/>
      <c r="T665" s="31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F665" s="31"/>
      <c r="AG665" s="31"/>
      <c r="AH665" s="31"/>
      <c r="AI665" s="31"/>
      <c r="AJ665" s="31"/>
    </row>
    <row r="666" customFormat="false" ht="14.25" hidden="false" customHeight="true" outlineLevel="0" collapsed="false">
      <c r="A666" s="116"/>
      <c r="B666" s="19"/>
      <c r="C666" s="19"/>
      <c r="D666" s="36"/>
      <c r="E666" s="19"/>
      <c r="F666" s="37"/>
      <c r="G666" s="38"/>
      <c r="H666" s="38"/>
      <c r="I666" s="38"/>
      <c r="J666" s="38"/>
      <c r="K666" s="38"/>
      <c r="L666" s="38"/>
      <c r="M666" s="38"/>
      <c r="N666" s="39"/>
      <c r="O666" s="38"/>
      <c r="P666" s="30"/>
      <c r="Q666" s="35"/>
      <c r="R666" s="31"/>
      <c r="S666" s="31"/>
      <c r="T666" s="31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F666" s="31"/>
      <c r="AG666" s="31"/>
      <c r="AH666" s="31"/>
      <c r="AI666" s="31"/>
      <c r="AJ666" s="31"/>
    </row>
    <row r="667" customFormat="false" ht="14.25" hidden="false" customHeight="true" outlineLevel="0" collapsed="false">
      <c r="A667" s="116"/>
      <c r="B667" s="19"/>
      <c r="C667" s="19"/>
      <c r="D667" s="36"/>
      <c r="E667" s="19"/>
      <c r="F667" s="37"/>
      <c r="G667" s="38"/>
      <c r="H667" s="38"/>
      <c r="I667" s="38"/>
      <c r="J667" s="38"/>
      <c r="K667" s="38"/>
      <c r="L667" s="38"/>
      <c r="M667" s="38"/>
      <c r="N667" s="39"/>
      <c r="O667" s="38"/>
      <c r="P667" s="30"/>
      <c r="Q667" s="35"/>
      <c r="R667" s="31"/>
      <c r="S667" s="31"/>
      <c r="T667" s="31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F667" s="31"/>
      <c r="AG667" s="31"/>
      <c r="AH667" s="31"/>
      <c r="AI667" s="31"/>
      <c r="AJ667" s="31"/>
    </row>
    <row r="668" customFormat="false" ht="14.25" hidden="false" customHeight="true" outlineLevel="0" collapsed="false">
      <c r="A668" s="116"/>
      <c r="B668" s="19"/>
      <c r="C668" s="19"/>
      <c r="D668" s="36"/>
      <c r="E668" s="19"/>
      <c r="F668" s="37"/>
      <c r="G668" s="38"/>
      <c r="H668" s="38"/>
      <c r="I668" s="38"/>
      <c r="J668" s="38"/>
      <c r="K668" s="38"/>
      <c r="L668" s="38"/>
      <c r="M668" s="38"/>
      <c r="N668" s="39"/>
      <c r="O668" s="38"/>
      <c r="P668" s="30"/>
      <c r="Q668" s="35"/>
      <c r="R668" s="31"/>
      <c r="S668" s="31"/>
      <c r="T668" s="31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F668" s="31"/>
      <c r="AG668" s="31"/>
      <c r="AH668" s="31"/>
      <c r="AI668" s="31"/>
      <c r="AJ668" s="31"/>
    </row>
    <row r="669" customFormat="false" ht="14.25" hidden="false" customHeight="true" outlineLevel="0" collapsed="false">
      <c r="A669" s="116"/>
      <c r="B669" s="19"/>
      <c r="C669" s="19"/>
      <c r="D669" s="36"/>
      <c r="E669" s="19"/>
      <c r="F669" s="37"/>
      <c r="G669" s="38"/>
      <c r="H669" s="38"/>
      <c r="I669" s="38"/>
      <c r="J669" s="38"/>
      <c r="K669" s="38"/>
      <c r="L669" s="38"/>
      <c r="M669" s="38"/>
      <c r="N669" s="39"/>
      <c r="O669" s="38"/>
      <c r="P669" s="30"/>
      <c r="Q669" s="35"/>
      <c r="R669" s="31"/>
      <c r="S669" s="31"/>
      <c r="T669" s="31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F669" s="31"/>
      <c r="AG669" s="31"/>
      <c r="AH669" s="31"/>
      <c r="AI669" s="31"/>
      <c r="AJ669" s="31"/>
    </row>
    <row r="670" customFormat="false" ht="14.25" hidden="false" customHeight="true" outlineLevel="0" collapsed="false">
      <c r="A670" s="116"/>
      <c r="B670" s="19"/>
      <c r="C670" s="19"/>
      <c r="D670" s="36"/>
      <c r="E670" s="19"/>
      <c r="F670" s="37"/>
      <c r="G670" s="38"/>
      <c r="H670" s="38"/>
      <c r="I670" s="38"/>
      <c r="J670" s="38"/>
      <c r="K670" s="38"/>
      <c r="L670" s="38"/>
      <c r="M670" s="38"/>
      <c r="N670" s="39"/>
      <c r="O670" s="38"/>
      <c r="P670" s="30"/>
      <c r="Q670" s="35"/>
      <c r="R670" s="31"/>
      <c r="S670" s="31"/>
      <c r="T670" s="31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F670" s="31"/>
      <c r="AG670" s="31"/>
      <c r="AH670" s="31"/>
      <c r="AI670" s="31"/>
      <c r="AJ670" s="31"/>
    </row>
    <row r="671" customFormat="false" ht="14.25" hidden="false" customHeight="true" outlineLevel="0" collapsed="false">
      <c r="A671" s="116"/>
      <c r="B671" s="19"/>
      <c r="C671" s="19"/>
      <c r="D671" s="36"/>
      <c r="E671" s="19"/>
      <c r="F671" s="37"/>
      <c r="G671" s="38"/>
      <c r="H671" s="38"/>
      <c r="I671" s="38"/>
      <c r="J671" s="38"/>
      <c r="K671" s="38"/>
      <c r="L671" s="38"/>
      <c r="M671" s="38"/>
      <c r="N671" s="39"/>
      <c r="O671" s="38"/>
      <c r="P671" s="30"/>
      <c r="Q671" s="35"/>
      <c r="R671" s="31"/>
      <c r="S671" s="31"/>
      <c r="T671" s="31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F671" s="31"/>
      <c r="AG671" s="31"/>
      <c r="AH671" s="31"/>
      <c r="AI671" s="31"/>
      <c r="AJ671" s="31"/>
    </row>
    <row r="672" customFormat="false" ht="14.25" hidden="false" customHeight="true" outlineLevel="0" collapsed="false">
      <c r="A672" s="116"/>
      <c r="B672" s="19"/>
      <c r="C672" s="19"/>
      <c r="D672" s="36"/>
      <c r="E672" s="19"/>
      <c r="F672" s="37"/>
      <c r="G672" s="38"/>
      <c r="H672" s="38"/>
      <c r="I672" s="38"/>
      <c r="J672" s="38"/>
      <c r="K672" s="38"/>
      <c r="L672" s="38"/>
      <c r="M672" s="38"/>
      <c r="N672" s="39"/>
      <c r="O672" s="38"/>
      <c r="P672" s="30"/>
      <c r="Q672" s="35"/>
      <c r="R672" s="31"/>
      <c r="S672" s="31"/>
      <c r="T672" s="31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F672" s="31"/>
      <c r="AG672" s="31"/>
      <c r="AH672" s="31"/>
      <c r="AI672" s="31"/>
      <c r="AJ672" s="31"/>
    </row>
    <row r="673" customFormat="false" ht="14.25" hidden="false" customHeight="true" outlineLevel="0" collapsed="false">
      <c r="A673" s="116"/>
      <c r="B673" s="19"/>
      <c r="C673" s="19"/>
      <c r="D673" s="36"/>
      <c r="E673" s="19"/>
      <c r="F673" s="37"/>
      <c r="G673" s="38"/>
      <c r="H673" s="38"/>
      <c r="I673" s="38"/>
      <c r="J673" s="38"/>
      <c r="K673" s="38"/>
      <c r="L673" s="38"/>
      <c r="M673" s="38"/>
      <c r="N673" s="39"/>
      <c r="O673" s="38"/>
      <c r="P673" s="30"/>
      <c r="Q673" s="35"/>
      <c r="R673" s="31"/>
      <c r="S673" s="31"/>
      <c r="T673" s="31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F673" s="31"/>
      <c r="AG673" s="31"/>
      <c r="AH673" s="31"/>
      <c r="AI673" s="31"/>
      <c r="AJ673" s="31"/>
    </row>
    <row r="674" customFormat="false" ht="14.25" hidden="false" customHeight="true" outlineLevel="0" collapsed="false">
      <c r="A674" s="116"/>
      <c r="B674" s="19"/>
      <c r="C674" s="19"/>
      <c r="D674" s="36"/>
      <c r="E674" s="19"/>
      <c r="F674" s="37"/>
      <c r="G674" s="38"/>
      <c r="H674" s="38"/>
      <c r="I674" s="38"/>
      <c r="J674" s="38"/>
      <c r="K674" s="38"/>
      <c r="L674" s="38"/>
      <c r="M674" s="38"/>
      <c r="N674" s="39"/>
      <c r="O674" s="38"/>
      <c r="P674" s="30"/>
      <c r="Q674" s="35"/>
      <c r="R674" s="31"/>
      <c r="S674" s="31"/>
      <c r="T674" s="31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F674" s="31"/>
      <c r="AG674" s="31"/>
      <c r="AH674" s="31"/>
      <c r="AI674" s="31"/>
      <c r="AJ674" s="31"/>
    </row>
    <row r="675" customFormat="false" ht="14.25" hidden="false" customHeight="true" outlineLevel="0" collapsed="false">
      <c r="A675" s="116"/>
      <c r="B675" s="19"/>
      <c r="C675" s="19"/>
      <c r="D675" s="36"/>
      <c r="E675" s="19"/>
      <c r="F675" s="37"/>
      <c r="G675" s="38"/>
      <c r="H675" s="38"/>
      <c r="I675" s="38"/>
      <c r="J675" s="38"/>
      <c r="K675" s="38"/>
      <c r="L675" s="38"/>
      <c r="M675" s="38"/>
      <c r="N675" s="39"/>
      <c r="O675" s="38"/>
      <c r="P675" s="30"/>
      <c r="Q675" s="35"/>
      <c r="R675" s="31"/>
      <c r="S675" s="31"/>
      <c r="T675" s="31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F675" s="31"/>
      <c r="AG675" s="31"/>
      <c r="AH675" s="31"/>
      <c r="AI675" s="31"/>
      <c r="AJ675" s="31"/>
    </row>
    <row r="676" customFormat="false" ht="14.25" hidden="false" customHeight="true" outlineLevel="0" collapsed="false">
      <c r="A676" s="116"/>
      <c r="B676" s="19"/>
      <c r="C676" s="19"/>
      <c r="D676" s="36"/>
      <c r="E676" s="19"/>
      <c r="F676" s="37"/>
      <c r="G676" s="38"/>
      <c r="H676" s="38"/>
      <c r="I676" s="38"/>
      <c r="J676" s="38"/>
      <c r="K676" s="38"/>
      <c r="L676" s="38"/>
      <c r="M676" s="38"/>
      <c r="N676" s="39"/>
      <c r="O676" s="38"/>
      <c r="P676" s="30"/>
      <c r="Q676" s="35"/>
      <c r="R676" s="31"/>
      <c r="S676" s="31"/>
      <c r="T676" s="31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F676" s="31"/>
      <c r="AG676" s="31"/>
      <c r="AH676" s="31"/>
      <c r="AI676" s="31"/>
      <c r="AJ676" s="31"/>
    </row>
    <row r="677" customFormat="false" ht="14.25" hidden="false" customHeight="true" outlineLevel="0" collapsed="false">
      <c r="A677" s="116"/>
      <c r="B677" s="19"/>
      <c r="C677" s="19"/>
      <c r="D677" s="36"/>
      <c r="E677" s="19"/>
      <c r="F677" s="37"/>
      <c r="G677" s="38"/>
      <c r="H677" s="38"/>
      <c r="I677" s="38"/>
      <c r="J677" s="38"/>
      <c r="K677" s="38"/>
      <c r="L677" s="38"/>
      <c r="M677" s="38"/>
      <c r="N677" s="39"/>
      <c r="O677" s="38"/>
      <c r="P677" s="30"/>
      <c r="Q677" s="35"/>
      <c r="R677" s="31"/>
      <c r="S677" s="31"/>
      <c r="T677" s="31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F677" s="31"/>
      <c r="AG677" s="31"/>
      <c r="AH677" s="31"/>
      <c r="AI677" s="31"/>
      <c r="AJ677" s="31"/>
    </row>
    <row r="678" customFormat="false" ht="14.25" hidden="false" customHeight="true" outlineLevel="0" collapsed="false">
      <c r="A678" s="116"/>
      <c r="B678" s="19"/>
      <c r="C678" s="19"/>
      <c r="D678" s="36"/>
      <c r="E678" s="19"/>
      <c r="F678" s="37"/>
      <c r="G678" s="38"/>
      <c r="H678" s="38"/>
      <c r="I678" s="38"/>
      <c r="J678" s="38"/>
      <c r="K678" s="38"/>
      <c r="L678" s="38"/>
      <c r="M678" s="38"/>
      <c r="N678" s="39"/>
      <c r="O678" s="38"/>
      <c r="P678" s="30"/>
      <c r="Q678" s="35"/>
      <c r="R678" s="31"/>
      <c r="S678" s="31"/>
      <c r="T678" s="31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F678" s="31"/>
      <c r="AG678" s="31"/>
      <c r="AH678" s="31"/>
      <c r="AI678" s="31"/>
      <c r="AJ678" s="31"/>
    </row>
    <row r="679" customFormat="false" ht="14.25" hidden="false" customHeight="true" outlineLevel="0" collapsed="false">
      <c r="A679" s="116"/>
      <c r="B679" s="19"/>
      <c r="C679" s="19"/>
      <c r="D679" s="36"/>
      <c r="E679" s="19"/>
      <c r="F679" s="37"/>
      <c r="G679" s="38"/>
      <c r="H679" s="38"/>
      <c r="I679" s="38"/>
      <c r="J679" s="38"/>
      <c r="K679" s="38"/>
      <c r="L679" s="38"/>
      <c r="M679" s="38"/>
      <c r="N679" s="39"/>
      <c r="O679" s="38"/>
      <c r="P679" s="30"/>
      <c r="Q679" s="35"/>
      <c r="R679" s="31"/>
      <c r="S679" s="31"/>
      <c r="T679" s="31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F679" s="31"/>
      <c r="AG679" s="31"/>
      <c r="AH679" s="31"/>
      <c r="AI679" s="31"/>
      <c r="AJ679" s="31"/>
    </row>
    <row r="680" customFormat="false" ht="14.25" hidden="false" customHeight="true" outlineLevel="0" collapsed="false">
      <c r="A680" s="116"/>
      <c r="B680" s="19"/>
      <c r="C680" s="19"/>
      <c r="D680" s="36"/>
      <c r="E680" s="19"/>
      <c r="F680" s="37"/>
      <c r="G680" s="38"/>
      <c r="H680" s="38"/>
      <c r="I680" s="38"/>
      <c r="J680" s="38"/>
      <c r="K680" s="38"/>
      <c r="L680" s="38"/>
      <c r="M680" s="38"/>
      <c r="N680" s="39"/>
      <c r="O680" s="38"/>
      <c r="P680" s="30"/>
      <c r="Q680" s="35"/>
      <c r="R680" s="31"/>
      <c r="S680" s="31"/>
      <c r="T680" s="31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F680" s="31"/>
      <c r="AG680" s="31"/>
      <c r="AH680" s="31"/>
      <c r="AI680" s="31"/>
      <c r="AJ680" s="31"/>
    </row>
    <row r="681" customFormat="false" ht="14.25" hidden="false" customHeight="true" outlineLevel="0" collapsed="false">
      <c r="A681" s="116"/>
      <c r="B681" s="19"/>
      <c r="C681" s="19"/>
      <c r="D681" s="36"/>
      <c r="E681" s="19"/>
      <c r="F681" s="37"/>
      <c r="G681" s="38"/>
      <c r="H681" s="38"/>
      <c r="I681" s="38"/>
      <c r="J681" s="38"/>
      <c r="K681" s="38"/>
      <c r="L681" s="38"/>
      <c r="M681" s="38"/>
      <c r="N681" s="39"/>
      <c r="O681" s="38"/>
      <c r="P681" s="30"/>
      <c r="Q681" s="35"/>
      <c r="R681" s="31"/>
      <c r="S681" s="31"/>
      <c r="T681" s="31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F681" s="31"/>
      <c r="AG681" s="31"/>
      <c r="AH681" s="31"/>
      <c r="AI681" s="31"/>
      <c r="AJ681" s="31"/>
    </row>
    <row r="682" customFormat="false" ht="14.25" hidden="false" customHeight="true" outlineLevel="0" collapsed="false">
      <c r="A682" s="116"/>
      <c r="B682" s="19"/>
      <c r="C682" s="19"/>
      <c r="D682" s="36"/>
      <c r="E682" s="19"/>
      <c r="F682" s="37"/>
      <c r="G682" s="38"/>
      <c r="H682" s="38"/>
      <c r="I682" s="38"/>
      <c r="J682" s="38"/>
      <c r="K682" s="38"/>
      <c r="L682" s="38"/>
      <c r="M682" s="38"/>
      <c r="N682" s="39"/>
      <c r="O682" s="38"/>
      <c r="P682" s="30"/>
      <c r="Q682" s="35"/>
      <c r="R682" s="31"/>
      <c r="S682" s="31"/>
      <c r="T682" s="31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F682" s="31"/>
      <c r="AG682" s="31"/>
      <c r="AH682" s="31"/>
      <c r="AI682" s="31"/>
      <c r="AJ682" s="31"/>
    </row>
    <row r="683" customFormat="false" ht="14.25" hidden="false" customHeight="true" outlineLevel="0" collapsed="false">
      <c r="A683" s="116"/>
      <c r="B683" s="19"/>
      <c r="C683" s="19"/>
      <c r="D683" s="36"/>
      <c r="E683" s="19"/>
      <c r="F683" s="37"/>
      <c r="G683" s="38"/>
      <c r="H683" s="38"/>
      <c r="I683" s="38"/>
      <c r="J683" s="38"/>
      <c r="K683" s="38"/>
      <c r="L683" s="38"/>
      <c r="M683" s="38"/>
      <c r="N683" s="39"/>
      <c r="O683" s="38"/>
      <c r="P683" s="30"/>
      <c r="Q683" s="35"/>
      <c r="R683" s="31"/>
      <c r="S683" s="31"/>
      <c r="T683" s="31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F683" s="31"/>
      <c r="AG683" s="31"/>
      <c r="AH683" s="31"/>
      <c r="AI683" s="31"/>
      <c r="AJ683" s="31"/>
    </row>
    <row r="684" customFormat="false" ht="14.25" hidden="false" customHeight="true" outlineLevel="0" collapsed="false">
      <c r="A684" s="116"/>
      <c r="B684" s="19"/>
      <c r="C684" s="19"/>
      <c r="D684" s="36"/>
      <c r="E684" s="19"/>
      <c r="F684" s="37"/>
      <c r="G684" s="38"/>
      <c r="H684" s="38"/>
      <c r="I684" s="38"/>
      <c r="J684" s="38"/>
      <c r="K684" s="38"/>
      <c r="L684" s="38"/>
      <c r="M684" s="38"/>
      <c r="N684" s="39"/>
      <c r="O684" s="38"/>
      <c r="P684" s="30"/>
      <c r="Q684" s="35"/>
      <c r="R684" s="31"/>
      <c r="S684" s="31"/>
      <c r="T684" s="31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F684" s="31"/>
      <c r="AG684" s="31"/>
      <c r="AH684" s="31"/>
      <c r="AI684" s="31"/>
      <c r="AJ684" s="31"/>
    </row>
    <row r="685" customFormat="false" ht="14.25" hidden="false" customHeight="true" outlineLevel="0" collapsed="false">
      <c r="A685" s="116"/>
      <c r="B685" s="19"/>
      <c r="C685" s="19"/>
      <c r="D685" s="36"/>
      <c r="E685" s="19"/>
      <c r="F685" s="37"/>
      <c r="G685" s="38"/>
      <c r="H685" s="38"/>
      <c r="I685" s="38"/>
      <c r="J685" s="38"/>
      <c r="K685" s="38"/>
      <c r="L685" s="38"/>
      <c r="M685" s="38"/>
      <c r="N685" s="39"/>
      <c r="O685" s="38"/>
      <c r="P685" s="30"/>
      <c r="Q685" s="35"/>
      <c r="R685" s="31"/>
      <c r="S685" s="31"/>
      <c r="T685" s="31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F685" s="31"/>
      <c r="AG685" s="31"/>
      <c r="AH685" s="31"/>
      <c r="AI685" s="31"/>
      <c r="AJ685" s="31"/>
    </row>
    <row r="686" customFormat="false" ht="14.25" hidden="false" customHeight="true" outlineLevel="0" collapsed="false">
      <c r="A686" s="116"/>
      <c r="B686" s="19"/>
      <c r="C686" s="19"/>
      <c r="D686" s="36"/>
      <c r="E686" s="19"/>
      <c r="F686" s="37"/>
      <c r="G686" s="38"/>
      <c r="H686" s="38"/>
      <c r="I686" s="38"/>
      <c r="J686" s="38"/>
      <c r="K686" s="38"/>
      <c r="L686" s="38"/>
      <c r="M686" s="38"/>
      <c r="N686" s="39"/>
      <c r="O686" s="38"/>
      <c r="P686" s="30"/>
      <c r="Q686" s="35"/>
      <c r="R686" s="31"/>
      <c r="S686" s="31"/>
      <c r="T686" s="31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F686" s="31"/>
      <c r="AG686" s="31"/>
      <c r="AH686" s="31"/>
      <c r="AI686" s="31"/>
      <c r="AJ686" s="31"/>
    </row>
    <row r="687" customFormat="false" ht="14.25" hidden="false" customHeight="true" outlineLevel="0" collapsed="false">
      <c r="A687" s="116"/>
      <c r="B687" s="19"/>
      <c r="C687" s="19"/>
      <c r="D687" s="36"/>
      <c r="E687" s="19"/>
      <c r="F687" s="37"/>
      <c r="G687" s="38"/>
      <c r="H687" s="38"/>
      <c r="I687" s="38"/>
      <c r="J687" s="38"/>
      <c r="K687" s="38"/>
      <c r="L687" s="38"/>
      <c r="M687" s="38"/>
      <c r="N687" s="39"/>
      <c r="O687" s="38"/>
      <c r="P687" s="30"/>
      <c r="Q687" s="35"/>
      <c r="R687" s="31"/>
      <c r="S687" s="31"/>
      <c r="T687" s="31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F687" s="31"/>
      <c r="AG687" s="31"/>
      <c r="AH687" s="31"/>
      <c r="AI687" s="31"/>
      <c r="AJ687" s="31"/>
    </row>
    <row r="688" customFormat="false" ht="14.25" hidden="false" customHeight="true" outlineLevel="0" collapsed="false">
      <c r="A688" s="116"/>
      <c r="B688" s="19"/>
      <c r="C688" s="19"/>
      <c r="D688" s="36"/>
      <c r="E688" s="19"/>
      <c r="F688" s="37"/>
      <c r="G688" s="38"/>
      <c r="H688" s="38"/>
      <c r="I688" s="38"/>
      <c r="J688" s="38"/>
      <c r="K688" s="38"/>
      <c r="L688" s="38"/>
      <c r="M688" s="38"/>
      <c r="N688" s="39"/>
      <c r="O688" s="38"/>
      <c r="P688" s="30"/>
      <c r="Q688" s="35"/>
      <c r="R688" s="31"/>
      <c r="S688" s="31"/>
      <c r="T688" s="31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F688" s="31"/>
      <c r="AG688" s="31"/>
      <c r="AH688" s="31"/>
      <c r="AI688" s="31"/>
      <c r="AJ688" s="31"/>
    </row>
    <row r="689" customFormat="false" ht="14.25" hidden="false" customHeight="true" outlineLevel="0" collapsed="false">
      <c r="A689" s="116"/>
      <c r="B689" s="19"/>
      <c r="C689" s="19"/>
      <c r="D689" s="36"/>
      <c r="E689" s="19"/>
      <c r="F689" s="37"/>
      <c r="G689" s="38"/>
      <c r="H689" s="38"/>
      <c r="I689" s="38"/>
      <c r="J689" s="38"/>
      <c r="K689" s="38"/>
      <c r="L689" s="38"/>
      <c r="M689" s="38"/>
      <c r="N689" s="39"/>
      <c r="O689" s="38"/>
      <c r="P689" s="30"/>
      <c r="Q689" s="35"/>
      <c r="R689" s="31"/>
      <c r="S689" s="31"/>
      <c r="T689" s="31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F689" s="31"/>
      <c r="AG689" s="31"/>
      <c r="AH689" s="31"/>
      <c r="AI689" s="31"/>
      <c r="AJ689" s="31"/>
    </row>
    <row r="690" customFormat="false" ht="14.25" hidden="false" customHeight="true" outlineLevel="0" collapsed="false">
      <c r="A690" s="116"/>
      <c r="B690" s="19"/>
      <c r="C690" s="19"/>
      <c r="D690" s="36"/>
      <c r="E690" s="19"/>
      <c r="F690" s="37"/>
      <c r="G690" s="38"/>
      <c r="H690" s="38"/>
      <c r="I690" s="38"/>
      <c r="J690" s="38"/>
      <c r="K690" s="38"/>
      <c r="L690" s="38"/>
      <c r="M690" s="38"/>
      <c r="N690" s="39"/>
      <c r="O690" s="38"/>
      <c r="P690" s="30"/>
      <c r="Q690" s="35"/>
      <c r="R690" s="31"/>
      <c r="S690" s="31"/>
      <c r="T690" s="31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F690" s="31"/>
      <c r="AG690" s="31"/>
      <c r="AH690" s="31"/>
      <c r="AI690" s="31"/>
      <c r="AJ690" s="31"/>
    </row>
    <row r="691" customFormat="false" ht="14.25" hidden="false" customHeight="true" outlineLevel="0" collapsed="false">
      <c r="A691" s="116"/>
      <c r="B691" s="19"/>
      <c r="C691" s="19"/>
      <c r="D691" s="36"/>
      <c r="E691" s="19"/>
      <c r="F691" s="37"/>
      <c r="G691" s="38"/>
      <c r="H691" s="38"/>
      <c r="I691" s="38"/>
      <c r="J691" s="38"/>
      <c r="K691" s="38"/>
      <c r="L691" s="38"/>
      <c r="M691" s="38"/>
      <c r="N691" s="39"/>
      <c r="O691" s="38"/>
      <c r="P691" s="30"/>
      <c r="Q691" s="35"/>
      <c r="R691" s="31"/>
      <c r="S691" s="31"/>
      <c r="T691" s="31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F691" s="31"/>
      <c r="AG691" s="31"/>
      <c r="AH691" s="31"/>
      <c r="AI691" s="31"/>
      <c r="AJ691" s="31"/>
    </row>
    <row r="692" customFormat="false" ht="14.25" hidden="false" customHeight="true" outlineLevel="0" collapsed="false">
      <c r="A692" s="116"/>
      <c r="B692" s="19"/>
      <c r="C692" s="19"/>
      <c r="D692" s="36"/>
      <c r="E692" s="19"/>
      <c r="F692" s="37"/>
      <c r="G692" s="38"/>
      <c r="H692" s="38"/>
      <c r="I692" s="38"/>
      <c r="J692" s="38"/>
      <c r="K692" s="38"/>
      <c r="L692" s="38"/>
      <c r="M692" s="38"/>
      <c r="N692" s="39"/>
      <c r="O692" s="38"/>
      <c r="P692" s="30"/>
      <c r="Q692" s="35"/>
      <c r="R692" s="31"/>
      <c r="S692" s="31"/>
      <c r="T692" s="31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F692" s="31"/>
      <c r="AG692" s="31"/>
      <c r="AH692" s="31"/>
      <c r="AI692" s="31"/>
      <c r="AJ692" s="31"/>
    </row>
    <row r="693" customFormat="false" ht="14.25" hidden="false" customHeight="true" outlineLevel="0" collapsed="false">
      <c r="A693" s="116"/>
      <c r="B693" s="19"/>
      <c r="C693" s="19"/>
      <c r="D693" s="36"/>
      <c r="E693" s="19"/>
      <c r="F693" s="37"/>
      <c r="G693" s="38"/>
      <c r="H693" s="38"/>
      <c r="I693" s="38"/>
      <c r="J693" s="38"/>
      <c r="K693" s="38"/>
      <c r="L693" s="38"/>
      <c r="M693" s="38"/>
      <c r="N693" s="39"/>
      <c r="O693" s="38"/>
      <c r="P693" s="30"/>
      <c r="Q693" s="35"/>
      <c r="R693" s="31"/>
      <c r="S693" s="31"/>
      <c r="T693" s="31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F693" s="31"/>
      <c r="AG693" s="31"/>
      <c r="AH693" s="31"/>
      <c r="AI693" s="31"/>
      <c r="AJ693" s="31"/>
    </row>
    <row r="694" customFormat="false" ht="14.25" hidden="false" customHeight="true" outlineLevel="0" collapsed="false">
      <c r="A694" s="116"/>
      <c r="B694" s="19"/>
      <c r="C694" s="19"/>
      <c r="D694" s="36"/>
      <c r="E694" s="19"/>
      <c r="F694" s="37"/>
      <c r="G694" s="38"/>
      <c r="H694" s="38"/>
      <c r="I694" s="38"/>
      <c r="J694" s="38"/>
      <c r="K694" s="38"/>
      <c r="L694" s="38"/>
      <c r="M694" s="38"/>
      <c r="N694" s="39"/>
      <c r="O694" s="38"/>
      <c r="P694" s="30"/>
      <c r="Q694" s="35"/>
      <c r="R694" s="31"/>
      <c r="S694" s="31"/>
      <c r="T694" s="31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F694" s="31"/>
      <c r="AG694" s="31"/>
      <c r="AH694" s="31"/>
      <c r="AI694" s="31"/>
      <c r="AJ694" s="31"/>
    </row>
    <row r="695" customFormat="false" ht="14.25" hidden="false" customHeight="true" outlineLevel="0" collapsed="false">
      <c r="A695" s="116"/>
      <c r="B695" s="19"/>
      <c r="C695" s="19"/>
      <c r="D695" s="36"/>
      <c r="E695" s="19"/>
      <c r="F695" s="37"/>
      <c r="G695" s="38"/>
      <c r="H695" s="38"/>
      <c r="I695" s="38"/>
      <c r="J695" s="38"/>
      <c r="K695" s="38"/>
      <c r="L695" s="38"/>
      <c r="M695" s="38"/>
      <c r="N695" s="39"/>
      <c r="O695" s="38"/>
      <c r="P695" s="30"/>
      <c r="Q695" s="35"/>
      <c r="R695" s="31"/>
      <c r="S695" s="31"/>
      <c r="T695" s="31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F695" s="31"/>
      <c r="AG695" s="31"/>
      <c r="AH695" s="31"/>
      <c r="AI695" s="31"/>
      <c r="AJ695" s="31"/>
    </row>
    <row r="696" customFormat="false" ht="14.25" hidden="false" customHeight="true" outlineLevel="0" collapsed="false">
      <c r="A696" s="116"/>
      <c r="B696" s="19"/>
      <c r="C696" s="19"/>
      <c r="D696" s="36"/>
      <c r="E696" s="19"/>
      <c r="F696" s="37"/>
      <c r="G696" s="38"/>
      <c r="H696" s="38"/>
      <c r="I696" s="38"/>
      <c r="J696" s="38"/>
      <c r="K696" s="38"/>
      <c r="L696" s="38"/>
      <c r="M696" s="38"/>
      <c r="N696" s="39"/>
      <c r="O696" s="38"/>
      <c r="P696" s="30"/>
      <c r="Q696" s="35"/>
      <c r="R696" s="31"/>
      <c r="S696" s="31"/>
      <c r="T696" s="31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F696" s="31"/>
      <c r="AG696" s="31"/>
      <c r="AH696" s="31"/>
      <c r="AI696" s="31"/>
      <c r="AJ696" s="31"/>
    </row>
    <row r="697" customFormat="false" ht="14.25" hidden="false" customHeight="true" outlineLevel="0" collapsed="false">
      <c r="A697" s="116"/>
      <c r="B697" s="19"/>
      <c r="C697" s="19"/>
      <c r="D697" s="36"/>
      <c r="E697" s="19"/>
      <c r="F697" s="37"/>
      <c r="G697" s="38"/>
      <c r="H697" s="38"/>
      <c r="I697" s="38"/>
      <c r="J697" s="38"/>
      <c r="K697" s="38"/>
      <c r="L697" s="38"/>
      <c r="M697" s="38"/>
      <c r="N697" s="39"/>
      <c r="O697" s="38"/>
      <c r="P697" s="30"/>
      <c r="Q697" s="35"/>
      <c r="R697" s="31"/>
      <c r="S697" s="31"/>
      <c r="T697" s="31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F697" s="31"/>
      <c r="AG697" s="31"/>
      <c r="AH697" s="31"/>
      <c r="AI697" s="31"/>
      <c r="AJ697" s="31"/>
    </row>
    <row r="698" customFormat="false" ht="14.25" hidden="false" customHeight="true" outlineLevel="0" collapsed="false">
      <c r="A698" s="116"/>
      <c r="B698" s="19"/>
      <c r="C698" s="19"/>
      <c r="D698" s="36"/>
      <c r="E698" s="19"/>
      <c r="F698" s="37"/>
      <c r="G698" s="38"/>
      <c r="H698" s="38"/>
      <c r="I698" s="38"/>
      <c r="J698" s="38"/>
      <c r="K698" s="38"/>
      <c r="L698" s="38"/>
      <c r="M698" s="38"/>
      <c r="N698" s="39"/>
      <c r="O698" s="38"/>
      <c r="P698" s="30"/>
      <c r="Q698" s="35"/>
      <c r="R698" s="31"/>
      <c r="S698" s="31"/>
      <c r="T698" s="31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F698" s="31"/>
      <c r="AG698" s="31"/>
      <c r="AH698" s="31"/>
      <c r="AI698" s="31"/>
      <c r="AJ698" s="31"/>
    </row>
    <row r="699" customFormat="false" ht="14.25" hidden="false" customHeight="true" outlineLevel="0" collapsed="false">
      <c r="A699" s="116"/>
      <c r="B699" s="19"/>
      <c r="C699" s="19"/>
      <c r="D699" s="36"/>
      <c r="E699" s="19"/>
      <c r="F699" s="37"/>
      <c r="G699" s="38"/>
      <c r="H699" s="38"/>
      <c r="I699" s="38"/>
      <c r="J699" s="38"/>
      <c r="K699" s="38"/>
      <c r="L699" s="38"/>
      <c r="M699" s="38"/>
      <c r="N699" s="39"/>
      <c r="O699" s="38"/>
      <c r="P699" s="30"/>
      <c r="Q699" s="35"/>
      <c r="R699" s="31"/>
      <c r="S699" s="31"/>
      <c r="T699" s="31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F699" s="31"/>
      <c r="AG699" s="31"/>
      <c r="AH699" s="31"/>
      <c r="AI699" s="31"/>
      <c r="AJ699" s="31"/>
    </row>
    <row r="700" customFormat="false" ht="14.25" hidden="false" customHeight="true" outlineLevel="0" collapsed="false">
      <c r="A700" s="116"/>
      <c r="B700" s="19"/>
      <c r="C700" s="19"/>
      <c r="D700" s="36"/>
      <c r="E700" s="19"/>
      <c r="F700" s="37"/>
      <c r="G700" s="38"/>
      <c r="H700" s="38"/>
      <c r="I700" s="38"/>
      <c r="J700" s="38"/>
      <c r="K700" s="38"/>
      <c r="L700" s="38"/>
      <c r="M700" s="38"/>
      <c r="N700" s="39"/>
      <c r="O700" s="38"/>
      <c r="P700" s="30"/>
      <c r="Q700" s="35"/>
      <c r="R700" s="31"/>
      <c r="S700" s="31"/>
      <c r="T700" s="31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F700" s="31"/>
      <c r="AG700" s="31"/>
      <c r="AH700" s="31"/>
      <c r="AI700" s="31"/>
      <c r="AJ700" s="31"/>
    </row>
    <row r="701" customFormat="false" ht="14.25" hidden="false" customHeight="true" outlineLevel="0" collapsed="false">
      <c r="A701" s="116"/>
      <c r="B701" s="19"/>
      <c r="C701" s="19"/>
      <c r="D701" s="36"/>
      <c r="E701" s="19"/>
      <c r="F701" s="37"/>
      <c r="G701" s="38"/>
      <c r="H701" s="38"/>
      <c r="I701" s="38"/>
      <c r="J701" s="38"/>
      <c r="K701" s="38"/>
      <c r="L701" s="38"/>
      <c r="M701" s="38"/>
      <c r="N701" s="39"/>
      <c r="O701" s="38"/>
      <c r="P701" s="30"/>
      <c r="Q701" s="35"/>
      <c r="R701" s="31"/>
      <c r="S701" s="31"/>
      <c r="T701" s="31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F701" s="31"/>
      <c r="AG701" s="31"/>
      <c r="AH701" s="31"/>
      <c r="AI701" s="31"/>
      <c r="AJ701" s="31"/>
    </row>
    <row r="702" customFormat="false" ht="14.25" hidden="false" customHeight="true" outlineLevel="0" collapsed="false">
      <c r="A702" s="116"/>
      <c r="B702" s="19"/>
      <c r="C702" s="19"/>
      <c r="D702" s="36"/>
      <c r="E702" s="19"/>
      <c r="F702" s="37"/>
      <c r="G702" s="38"/>
      <c r="H702" s="38"/>
      <c r="I702" s="38"/>
      <c r="J702" s="38"/>
      <c r="K702" s="38"/>
      <c r="L702" s="38"/>
      <c r="M702" s="38"/>
      <c r="N702" s="39"/>
      <c r="O702" s="38"/>
      <c r="P702" s="30"/>
      <c r="Q702" s="35"/>
      <c r="R702" s="31"/>
      <c r="S702" s="31"/>
      <c r="T702" s="31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F702" s="31"/>
      <c r="AG702" s="31"/>
      <c r="AH702" s="31"/>
      <c r="AI702" s="31"/>
      <c r="AJ702" s="31"/>
    </row>
    <row r="703" customFormat="false" ht="14.25" hidden="false" customHeight="true" outlineLevel="0" collapsed="false">
      <c r="A703" s="116"/>
      <c r="B703" s="19"/>
      <c r="C703" s="19"/>
      <c r="D703" s="36"/>
      <c r="E703" s="19"/>
      <c r="F703" s="37"/>
      <c r="G703" s="38"/>
      <c r="H703" s="38"/>
      <c r="I703" s="38"/>
      <c r="J703" s="38"/>
      <c r="K703" s="38"/>
      <c r="L703" s="38"/>
      <c r="M703" s="38"/>
      <c r="N703" s="39"/>
      <c r="O703" s="38"/>
      <c r="P703" s="30"/>
      <c r="Q703" s="35"/>
      <c r="R703" s="31"/>
      <c r="S703" s="31"/>
      <c r="T703" s="31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F703" s="31"/>
      <c r="AG703" s="31"/>
      <c r="AH703" s="31"/>
      <c r="AI703" s="31"/>
      <c r="AJ703" s="31"/>
    </row>
    <row r="704" customFormat="false" ht="14.25" hidden="false" customHeight="true" outlineLevel="0" collapsed="false">
      <c r="A704" s="116"/>
      <c r="B704" s="19"/>
      <c r="C704" s="19"/>
      <c r="D704" s="36"/>
      <c r="E704" s="19"/>
      <c r="F704" s="37"/>
      <c r="G704" s="38"/>
      <c r="H704" s="38"/>
      <c r="I704" s="38"/>
      <c r="J704" s="38"/>
      <c r="K704" s="38"/>
      <c r="L704" s="38"/>
      <c r="M704" s="38"/>
      <c r="N704" s="39"/>
      <c r="O704" s="38"/>
      <c r="P704" s="30"/>
      <c r="Q704" s="35"/>
      <c r="R704" s="31"/>
      <c r="S704" s="31"/>
      <c r="T704" s="31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F704" s="31"/>
      <c r="AG704" s="31"/>
      <c r="AH704" s="31"/>
      <c r="AI704" s="31"/>
      <c r="AJ704" s="31"/>
    </row>
    <row r="705" customFormat="false" ht="14.25" hidden="false" customHeight="true" outlineLevel="0" collapsed="false">
      <c r="A705" s="116"/>
      <c r="B705" s="19"/>
      <c r="C705" s="19"/>
      <c r="D705" s="36"/>
      <c r="E705" s="19"/>
      <c r="F705" s="37"/>
      <c r="G705" s="38"/>
      <c r="H705" s="38"/>
      <c r="I705" s="38"/>
      <c r="J705" s="38"/>
      <c r="K705" s="38"/>
      <c r="L705" s="38"/>
      <c r="M705" s="38"/>
      <c r="N705" s="39"/>
      <c r="O705" s="38"/>
      <c r="P705" s="30"/>
      <c r="Q705" s="35"/>
      <c r="R705" s="31"/>
      <c r="S705" s="31"/>
      <c r="T705" s="31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F705" s="31"/>
      <c r="AG705" s="31"/>
      <c r="AH705" s="31"/>
      <c r="AI705" s="31"/>
      <c r="AJ705" s="31"/>
    </row>
    <row r="706" customFormat="false" ht="14.25" hidden="false" customHeight="true" outlineLevel="0" collapsed="false">
      <c r="A706" s="116"/>
      <c r="B706" s="19"/>
      <c r="C706" s="19"/>
      <c r="D706" s="36"/>
      <c r="E706" s="19"/>
      <c r="F706" s="37"/>
      <c r="G706" s="38"/>
      <c r="H706" s="38"/>
      <c r="I706" s="38"/>
      <c r="J706" s="38"/>
      <c r="K706" s="38"/>
      <c r="L706" s="38"/>
      <c r="M706" s="38"/>
      <c r="N706" s="39"/>
      <c r="O706" s="38"/>
      <c r="P706" s="30"/>
      <c r="Q706" s="35"/>
      <c r="R706" s="31"/>
      <c r="S706" s="31"/>
      <c r="T706" s="31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F706" s="31"/>
      <c r="AG706" s="31"/>
      <c r="AH706" s="31"/>
      <c r="AI706" s="31"/>
      <c r="AJ706" s="31"/>
    </row>
    <row r="707" customFormat="false" ht="14.25" hidden="false" customHeight="true" outlineLevel="0" collapsed="false">
      <c r="A707" s="116"/>
      <c r="B707" s="19"/>
      <c r="C707" s="19"/>
      <c r="D707" s="36"/>
      <c r="E707" s="19"/>
      <c r="F707" s="37"/>
      <c r="G707" s="38"/>
      <c r="H707" s="38"/>
      <c r="I707" s="38"/>
      <c r="J707" s="38"/>
      <c r="K707" s="38"/>
      <c r="L707" s="38"/>
      <c r="M707" s="38"/>
      <c r="N707" s="39"/>
      <c r="O707" s="38"/>
      <c r="P707" s="30"/>
      <c r="Q707" s="35"/>
      <c r="R707" s="31"/>
      <c r="S707" s="31"/>
      <c r="T707" s="31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F707" s="31"/>
      <c r="AG707" s="31"/>
      <c r="AH707" s="31"/>
      <c r="AI707" s="31"/>
      <c r="AJ707" s="31"/>
    </row>
    <row r="708" customFormat="false" ht="14.25" hidden="false" customHeight="true" outlineLevel="0" collapsed="false">
      <c r="A708" s="116"/>
      <c r="B708" s="19"/>
      <c r="C708" s="19"/>
      <c r="D708" s="36"/>
      <c r="E708" s="19"/>
      <c r="F708" s="37"/>
      <c r="G708" s="38"/>
      <c r="H708" s="38"/>
      <c r="I708" s="38"/>
      <c r="J708" s="38"/>
      <c r="K708" s="38"/>
      <c r="L708" s="38"/>
      <c r="M708" s="38"/>
      <c r="N708" s="39"/>
      <c r="O708" s="38"/>
      <c r="P708" s="30"/>
      <c r="Q708" s="35"/>
      <c r="R708" s="31"/>
      <c r="S708" s="31"/>
      <c r="T708" s="31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F708" s="31"/>
      <c r="AG708" s="31"/>
      <c r="AH708" s="31"/>
      <c r="AI708" s="31"/>
      <c r="AJ708" s="31"/>
    </row>
    <row r="709" customFormat="false" ht="14.25" hidden="false" customHeight="true" outlineLevel="0" collapsed="false">
      <c r="A709" s="116"/>
      <c r="B709" s="19"/>
      <c r="C709" s="19"/>
      <c r="D709" s="36"/>
      <c r="E709" s="19"/>
      <c r="F709" s="37"/>
      <c r="G709" s="38"/>
      <c r="H709" s="38"/>
      <c r="I709" s="38"/>
      <c r="J709" s="38"/>
      <c r="K709" s="38"/>
      <c r="L709" s="38"/>
      <c r="M709" s="38"/>
      <c r="N709" s="39"/>
      <c r="O709" s="38"/>
      <c r="P709" s="30"/>
      <c r="Q709" s="35"/>
      <c r="R709" s="31"/>
      <c r="S709" s="31"/>
      <c r="T709" s="31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F709" s="31"/>
      <c r="AG709" s="31"/>
      <c r="AH709" s="31"/>
      <c r="AI709" s="31"/>
      <c r="AJ709" s="31"/>
    </row>
    <row r="710" customFormat="false" ht="14.25" hidden="false" customHeight="true" outlineLevel="0" collapsed="false">
      <c r="A710" s="116"/>
      <c r="B710" s="19"/>
      <c r="C710" s="19"/>
      <c r="D710" s="36"/>
      <c r="E710" s="19"/>
      <c r="F710" s="37"/>
      <c r="G710" s="38"/>
      <c r="H710" s="38"/>
      <c r="I710" s="38"/>
      <c r="J710" s="38"/>
      <c r="K710" s="38"/>
      <c r="L710" s="38"/>
      <c r="M710" s="38"/>
      <c r="N710" s="39"/>
      <c r="O710" s="38"/>
      <c r="P710" s="30"/>
      <c r="Q710" s="35"/>
      <c r="R710" s="31"/>
      <c r="S710" s="31"/>
      <c r="T710" s="31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F710" s="31"/>
      <c r="AG710" s="31"/>
      <c r="AH710" s="31"/>
      <c r="AI710" s="31"/>
      <c r="AJ710" s="31"/>
    </row>
    <row r="711" customFormat="false" ht="14.25" hidden="false" customHeight="true" outlineLevel="0" collapsed="false">
      <c r="A711" s="116"/>
      <c r="B711" s="19"/>
      <c r="C711" s="19"/>
      <c r="D711" s="36"/>
      <c r="E711" s="19"/>
      <c r="F711" s="37"/>
      <c r="G711" s="38"/>
      <c r="H711" s="38"/>
      <c r="I711" s="38"/>
      <c r="J711" s="38"/>
      <c r="K711" s="38"/>
      <c r="L711" s="38"/>
      <c r="M711" s="38"/>
      <c r="N711" s="39"/>
      <c r="O711" s="38"/>
      <c r="P711" s="30"/>
      <c r="Q711" s="35"/>
      <c r="R711" s="31"/>
      <c r="S711" s="31"/>
      <c r="T711" s="31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F711" s="31"/>
      <c r="AG711" s="31"/>
      <c r="AH711" s="31"/>
      <c r="AI711" s="31"/>
      <c r="AJ711" s="31"/>
    </row>
    <row r="712" customFormat="false" ht="14.25" hidden="false" customHeight="true" outlineLevel="0" collapsed="false">
      <c r="A712" s="116"/>
      <c r="B712" s="19"/>
      <c r="C712" s="19"/>
      <c r="D712" s="36"/>
      <c r="E712" s="19"/>
      <c r="F712" s="37"/>
      <c r="G712" s="38"/>
      <c r="H712" s="38"/>
      <c r="I712" s="38"/>
      <c r="J712" s="38"/>
      <c r="K712" s="38"/>
      <c r="L712" s="38"/>
      <c r="M712" s="38"/>
      <c r="N712" s="39"/>
      <c r="O712" s="38"/>
      <c r="P712" s="30"/>
      <c r="Q712" s="35"/>
      <c r="R712" s="31"/>
      <c r="S712" s="31"/>
      <c r="T712" s="31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F712" s="31"/>
      <c r="AG712" s="31"/>
      <c r="AH712" s="31"/>
      <c r="AI712" s="31"/>
      <c r="AJ712" s="31"/>
    </row>
    <row r="713" customFormat="false" ht="14.25" hidden="false" customHeight="true" outlineLevel="0" collapsed="false">
      <c r="A713" s="116"/>
      <c r="B713" s="19"/>
      <c r="C713" s="19"/>
      <c r="D713" s="36"/>
      <c r="E713" s="19"/>
      <c r="F713" s="37"/>
      <c r="G713" s="38"/>
      <c r="H713" s="38"/>
      <c r="I713" s="38"/>
      <c r="J713" s="38"/>
      <c r="K713" s="38"/>
      <c r="L713" s="38"/>
      <c r="M713" s="38"/>
      <c r="N713" s="39"/>
      <c r="O713" s="38"/>
      <c r="P713" s="30"/>
      <c r="Q713" s="35"/>
      <c r="R713" s="31"/>
      <c r="S713" s="31"/>
      <c r="T713" s="31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F713" s="31"/>
      <c r="AG713" s="31"/>
      <c r="AH713" s="31"/>
      <c r="AI713" s="31"/>
      <c r="AJ713" s="31"/>
    </row>
    <row r="714" customFormat="false" ht="14.25" hidden="false" customHeight="true" outlineLevel="0" collapsed="false">
      <c r="A714" s="116"/>
      <c r="B714" s="19"/>
      <c r="C714" s="19"/>
      <c r="D714" s="36"/>
      <c r="E714" s="19"/>
      <c r="F714" s="37"/>
      <c r="G714" s="38"/>
      <c r="H714" s="38"/>
      <c r="I714" s="38"/>
      <c r="J714" s="38"/>
      <c r="K714" s="38"/>
      <c r="L714" s="38"/>
      <c r="M714" s="38"/>
      <c r="N714" s="39"/>
      <c r="O714" s="38"/>
      <c r="P714" s="30"/>
      <c r="Q714" s="35"/>
      <c r="R714" s="31"/>
      <c r="S714" s="31"/>
      <c r="T714" s="31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F714" s="31"/>
      <c r="AG714" s="31"/>
      <c r="AH714" s="31"/>
      <c r="AI714" s="31"/>
      <c r="AJ714" s="31"/>
    </row>
    <row r="715" customFormat="false" ht="14.25" hidden="false" customHeight="true" outlineLevel="0" collapsed="false">
      <c r="A715" s="116"/>
      <c r="B715" s="19"/>
      <c r="C715" s="19"/>
      <c r="D715" s="36"/>
      <c r="E715" s="19"/>
      <c r="F715" s="37"/>
      <c r="G715" s="38"/>
      <c r="H715" s="38"/>
      <c r="I715" s="38"/>
      <c r="J715" s="38"/>
      <c r="K715" s="38"/>
      <c r="L715" s="38"/>
      <c r="M715" s="38"/>
      <c r="N715" s="39"/>
      <c r="O715" s="38"/>
      <c r="P715" s="30"/>
      <c r="Q715" s="35"/>
      <c r="R715" s="31"/>
      <c r="S715" s="31"/>
      <c r="T715" s="31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F715" s="31"/>
      <c r="AG715" s="31"/>
      <c r="AH715" s="31"/>
      <c r="AI715" s="31"/>
      <c r="AJ715" s="31"/>
    </row>
    <row r="716" customFormat="false" ht="14.25" hidden="false" customHeight="true" outlineLevel="0" collapsed="false">
      <c r="A716" s="116"/>
      <c r="B716" s="19"/>
      <c r="C716" s="19"/>
      <c r="D716" s="36"/>
      <c r="E716" s="19"/>
      <c r="F716" s="37"/>
      <c r="G716" s="38"/>
      <c r="H716" s="38"/>
      <c r="I716" s="38"/>
      <c r="J716" s="38"/>
      <c r="K716" s="38"/>
      <c r="L716" s="38"/>
      <c r="M716" s="38"/>
      <c r="N716" s="39"/>
      <c r="O716" s="38"/>
      <c r="P716" s="30"/>
      <c r="Q716" s="35"/>
      <c r="R716" s="31"/>
      <c r="S716" s="31"/>
      <c r="T716" s="31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F716" s="31"/>
      <c r="AG716" s="31"/>
      <c r="AH716" s="31"/>
      <c r="AI716" s="31"/>
      <c r="AJ716" s="31"/>
    </row>
    <row r="717" customFormat="false" ht="14.25" hidden="false" customHeight="true" outlineLevel="0" collapsed="false">
      <c r="A717" s="116"/>
      <c r="B717" s="19"/>
      <c r="C717" s="19"/>
      <c r="D717" s="36"/>
      <c r="E717" s="19"/>
      <c r="F717" s="37"/>
      <c r="G717" s="38"/>
      <c r="H717" s="38"/>
      <c r="I717" s="38"/>
      <c r="J717" s="38"/>
      <c r="K717" s="38"/>
      <c r="L717" s="38"/>
      <c r="M717" s="38"/>
      <c r="N717" s="39"/>
      <c r="O717" s="38"/>
      <c r="P717" s="30"/>
      <c r="Q717" s="35"/>
      <c r="R717" s="31"/>
      <c r="S717" s="31"/>
      <c r="T717" s="31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F717" s="31"/>
      <c r="AG717" s="31"/>
      <c r="AH717" s="31"/>
      <c r="AI717" s="31"/>
      <c r="AJ717" s="31"/>
    </row>
    <row r="718" customFormat="false" ht="14.25" hidden="false" customHeight="true" outlineLevel="0" collapsed="false">
      <c r="A718" s="116"/>
      <c r="B718" s="19"/>
      <c r="C718" s="19"/>
      <c r="D718" s="36"/>
      <c r="E718" s="19"/>
      <c r="F718" s="37"/>
      <c r="G718" s="38"/>
      <c r="H718" s="38"/>
      <c r="I718" s="38"/>
      <c r="J718" s="38"/>
      <c r="K718" s="38"/>
      <c r="L718" s="38"/>
      <c r="M718" s="38"/>
      <c r="N718" s="39"/>
      <c r="O718" s="38"/>
      <c r="P718" s="30"/>
      <c r="Q718" s="35"/>
      <c r="R718" s="31"/>
      <c r="S718" s="31"/>
      <c r="T718" s="31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F718" s="31"/>
      <c r="AG718" s="31"/>
      <c r="AH718" s="31"/>
      <c r="AI718" s="31"/>
      <c r="AJ718" s="31"/>
    </row>
    <row r="719" customFormat="false" ht="14.25" hidden="false" customHeight="true" outlineLevel="0" collapsed="false">
      <c r="A719" s="116"/>
      <c r="B719" s="19"/>
      <c r="C719" s="19"/>
      <c r="D719" s="36"/>
      <c r="E719" s="19"/>
      <c r="F719" s="37"/>
      <c r="G719" s="38"/>
      <c r="H719" s="38"/>
      <c r="I719" s="38"/>
      <c r="J719" s="38"/>
      <c r="K719" s="38"/>
      <c r="L719" s="38"/>
      <c r="M719" s="38"/>
      <c r="N719" s="39"/>
      <c r="O719" s="38"/>
      <c r="P719" s="30"/>
      <c r="Q719" s="35"/>
      <c r="R719" s="31"/>
      <c r="S719" s="31"/>
      <c r="T719" s="31"/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F719" s="31"/>
      <c r="AG719" s="31"/>
      <c r="AH719" s="31"/>
      <c r="AI719" s="31"/>
      <c r="AJ719" s="31"/>
    </row>
    <row r="720" customFormat="false" ht="14.25" hidden="false" customHeight="true" outlineLevel="0" collapsed="false">
      <c r="A720" s="116"/>
      <c r="B720" s="19"/>
      <c r="C720" s="19"/>
      <c r="D720" s="36"/>
      <c r="E720" s="19"/>
      <c r="F720" s="37"/>
      <c r="G720" s="38"/>
      <c r="H720" s="38"/>
      <c r="I720" s="38"/>
      <c r="J720" s="38"/>
      <c r="K720" s="38"/>
      <c r="L720" s="38"/>
      <c r="M720" s="38"/>
      <c r="N720" s="39"/>
      <c r="O720" s="38"/>
      <c r="P720" s="30"/>
      <c r="Q720" s="35"/>
      <c r="R720" s="31"/>
      <c r="S720" s="31"/>
      <c r="T720" s="31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F720" s="31"/>
      <c r="AG720" s="31"/>
      <c r="AH720" s="31"/>
      <c r="AI720" s="31"/>
      <c r="AJ720" s="31"/>
    </row>
    <row r="721" customFormat="false" ht="14.25" hidden="false" customHeight="true" outlineLevel="0" collapsed="false">
      <c r="A721" s="116"/>
      <c r="B721" s="19"/>
      <c r="C721" s="19"/>
      <c r="D721" s="36"/>
      <c r="E721" s="19"/>
      <c r="F721" s="37"/>
      <c r="G721" s="38"/>
      <c r="H721" s="38"/>
      <c r="I721" s="38"/>
      <c r="J721" s="38"/>
      <c r="K721" s="38"/>
      <c r="L721" s="38"/>
      <c r="M721" s="38"/>
      <c r="N721" s="39"/>
      <c r="O721" s="38"/>
      <c r="P721" s="30"/>
      <c r="Q721" s="35"/>
      <c r="R721" s="31"/>
      <c r="S721" s="31"/>
      <c r="T721" s="31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F721" s="31"/>
      <c r="AG721" s="31"/>
      <c r="AH721" s="31"/>
      <c r="AI721" s="31"/>
      <c r="AJ721" s="31"/>
    </row>
    <row r="722" customFormat="false" ht="14.25" hidden="false" customHeight="true" outlineLevel="0" collapsed="false">
      <c r="A722" s="116"/>
      <c r="B722" s="19"/>
      <c r="C722" s="19"/>
      <c r="D722" s="36"/>
      <c r="E722" s="19"/>
      <c r="F722" s="37"/>
      <c r="G722" s="38"/>
      <c r="H722" s="38"/>
      <c r="I722" s="38"/>
      <c r="J722" s="38"/>
      <c r="K722" s="38"/>
      <c r="L722" s="38"/>
      <c r="M722" s="38"/>
      <c r="N722" s="39"/>
      <c r="O722" s="38"/>
      <c r="P722" s="30"/>
      <c r="Q722" s="35"/>
      <c r="R722" s="31"/>
      <c r="S722" s="31"/>
      <c r="T722" s="31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F722" s="31"/>
      <c r="AG722" s="31"/>
      <c r="AH722" s="31"/>
      <c r="AI722" s="31"/>
      <c r="AJ722" s="31"/>
    </row>
    <row r="723" customFormat="false" ht="14.25" hidden="false" customHeight="true" outlineLevel="0" collapsed="false">
      <c r="A723" s="116"/>
      <c r="B723" s="19"/>
      <c r="C723" s="19"/>
      <c r="D723" s="36"/>
      <c r="E723" s="19"/>
      <c r="F723" s="37"/>
      <c r="G723" s="38"/>
      <c r="H723" s="38"/>
      <c r="I723" s="38"/>
      <c r="J723" s="38"/>
      <c r="K723" s="38"/>
      <c r="L723" s="38"/>
      <c r="M723" s="38"/>
      <c r="N723" s="39"/>
      <c r="O723" s="38"/>
      <c r="P723" s="30"/>
      <c r="Q723" s="35"/>
      <c r="R723" s="31"/>
      <c r="S723" s="31"/>
      <c r="T723" s="31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F723" s="31"/>
      <c r="AG723" s="31"/>
      <c r="AH723" s="31"/>
      <c r="AI723" s="31"/>
      <c r="AJ723" s="31"/>
    </row>
    <row r="724" customFormat="false" ht="14.25" hidden="false" customHeight="true" outlineLevel="0" collapsed="false">
      <c r="A724" s="116"/>
      <c r="B724" s="19"/>
      <c r="C724" s="19"/>
      <c r="D724" s="36"/>
      <c r="E724" s="19"/>
      <c r="F724" s="37"/>
      <c r="G724" s="38"/>
      <c r="H724" s="38"/>
      <c r="I724" s="38"/>
      <c r="J724" s="38"/>
      <c r="K724" s="38"/>
      <c r="L724" s="38"/>
      <c r="M724" s="38"/>
      <c r="N724" s="39"/>
      <c r="O724" s="38"/>
      <c r="P724" s="30"/>
      <c r="Q724" s="35"/>
      <c r="R724" s="31"/>
      <c r="S724" s="31"/>
      <c r="T724" s="31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F724" s="31"/>
      <c r="AG724" s="31"/>
      <c r="AH724" s="31"/>
      <c r="AI724" s="31"/>
      <c r="AJ724" s="31"/>
    </row>
    <row r="725" customFormat="false" ht="14.25" hidden="false" customHeight="true" outlineLevel="0" collapsed="false">
      <c r="A725" s="116"/>
      <c r="B725" s="19"/>
      <c r="C725" s="19"/>
      <c r="D725" s="36"/>
      <c r="E725" s="19"/>
      <c r="F725" s="37"/>
      <c r="G725" s="38"/>
      <c r="H725" s="38"/>
      <c r="I725" s="38"/>
      <c r="J725" s="38"/>
      <c r="K725" s="38"/>
      <c r="L725" s="38"/>
      <c r="M725" s="38"/>
      <c r="N725" s="39"/>
      <c r="O725" s="38"/>
      <c r="P725" s="30"/>
      <c r="Q725" s="35"/>
      <c r="R725" s="31"/>
      <c r="S725" s="31"/>
      <c r="T725" s="31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F725" s="31"/>
      <c r="AG725" s="31"/>
      <c r="AH725" s="31"/>
      <c r="AI725" s="31"/>
      <c r="AJ725" s="31"/>
    </row>
    <row r="726" customFormat="false" ht="14.25" hidden="false" customHeight="true" outlineLevel="0" collapsed="false">
      <c r="A726" s="116"/>
      <c r="B726" s="19"/>
      <c r="C726" s="19"/>
      <c r="D726" s="36"/>
      <c r="E726" s="19"/>
      <c r="F726" s="37"/>
      <c r="G726" s="38"/>
      <c r="H726" s="38"/>
      <c r="I726" s="38"/>
      <c r="J726" s="38"/>
      <c r="K726" s="38"/>
      <c r="L726" s="38"/>
      <c r="M726" s="38"/>
      <c r="N726" s="39"/>
      <c r="O726" s="38"/>
      <c r="P726" s="30"/>
      <c r="Q726" s="35"/>
      <c r="R726" s="31"/>
      <c r="S726" s="31"/>
      <c r="T726" s="31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F726" s="31"/>
      <c r="AG726" s="31"/>
      <c r="AH726" s="31"/>
      <c r="AI726" s="31"/>
      <c r="AJ726" s="31"/>
    </row>
    <row r="727" customFormat="false" ht="14.25" hidden="false" customHeight="true" outlineLevel="0" collapsed="false">
      <c r="A727" s="116"/>
      <c r="B727" s="19"/>
      <c r="C727" s="19"/>
      <c r="D727" s="36"/>
      <c r="E727" s="19"/>
      <c r="F727" s="37"/>
      <c r="G727" s="38"/>
      <c r="H727" s="38"/>
      <c r="I727" s="38"/>
      <c r="J727" s="38"/>
      <c r="K727" s="38"/>
      <c r="L727" s="38"/>
      <c r="M727" s="38"/>
      <c r="N727" s="39"/>
      <c r="O727" s="38"/>
      <c r="P727" s="30"/>
      <c r="Q727" s="35"/>
      <c r="R727" s="31"/>
      <c r="S727" s="31"/>
      <c r="T727" s="31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F727" s="31"/>
      <c r="AG727" s="31"/>
      <c r="AH727" s="31"/>
      <c r="AI727" s="31"/>
      <c r="AJ727" s="31"/>
    </row>
    <row r="728" customFormat="false" ht="14.25" hidden="false" customHeight="true" outlineLevel="0" collapsed="false">
      <c r="A728" s="116"/>
      <c r="B728" s="19"/>
      <c r="C728" s="19"/>
      <c r="D728" s="36"/>
      <c r="E728" s="19"/>
      <c r="F728" s="37"/>
      <c r="G728" s="38"/>
      <c r="H728" s="38"/>
      <c r="I728" s="38"/>
      <c r="J728" s="38"/>
      <c r="K728" s="38"/>
      <c r="L728" s="38"/>
      <c r="M728" s="38"/>
      <c r="N728" s="39"/>
      <c r="O728" s="38"/>
      <c r="P728" s="30"/>
      <c r="Q728" s="35"/>
      <c r="R728" s="31"/>
      <c r="S728" s="31"/>
      <c r="T728" s="31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F728" s="31"/>
      <c r="AG728" s="31"/>
      <c r="AH728" s="31"/>
      <c r="AI728" s="31"/>
      <c r="AJ728" s="31"/>
    </row>
    <row r="729" customFormat="false" ht="14.25" hidden="false" customHeight="true" outlineLevel="0" collapsed="false">
      <c r="A729" s="116"/>
      <c r="B729" s="19"/>
      <c r="C729" s="19"/>
      <c r="D729" s="36"/>
      <c r="E729" s="19"/>
      <c r="F729" s="37"/>
      <c r="G729" s="38"/>
      <c r="H729" s="38"/>
      <c r="I729" s="38"/>
      <c r="J729" s="38"/>
      <c r="K729" s="38"/>
      <c r="L729" s="38"/>
      <c r="M729" s="38"/>
      <c r="N729" s="39"/>
      <c r="O729" s="38"/>
      <c r="P729" s="30"/>
      <c r="Q729" s="35"/>
      <c r="R729" s="31"/>
      <c r="S729" s="31"/>
      <c r="T729" s="31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F729" s="31"/>
      <c r="AG729" s="31"/>
      <c r="AH729" s="31"/>
      <c r="AI729" s="31"/>
      <c r="AJ729" s="31"/>
    </row>
    <row r="730" customFormat="false" ht="14.25" hidden="false" customHeight="true" outlineLevel="0" collapsed="false">
      <c r="A730" s="116"/>
      <c r="B730" s="19"/>
      <c r="C730" s="19"/>
      <c r="D730" s="36"/>
      <c r="E730" s="19"/>
      <c r="F730" s="37"/>
      <c r="G730" s="38"/>
      <c r="H730" s="38"/>
      <c r="I730" s="38"/>
      <c r="J730" s="38"/>
      <c r="K730" s="38"/>
      <c r="L730" s="38"/>
      <c r="M730" s="38"/>
      <c r="N730" s="39"/>
      <c r="O730" s="38"/>
      <c r="P730" s="30"/>
      <c r="Q730" s="35"/>
      <c r="R730" s="31"/>
      <c r="S730" s="31"/>
      <c r="T730" s="31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F730" s="31"/>
      <c r="AG730" s="31"/>
      <c r="AH730" s="31"/>
      <c r="AI730" s="31"/>
      <c r="AJ730" s="31"/>
    </row>
    <row r="731" customFormat="false" ht="14.25" hidden="false" customHeight="true" outlineLevel="0" collapsed="false">
      <c r="A731" s="116"/>
      <c r="B731" s="19"/>
      <c r="C731" s="19"/>
      <c r="D731" s="36"/>
      <c r="E731" s="19"/>
      <c r="F731" s="37"/>
      <c r="G731" s="38"/>
      <c r="H731" s="38"/>
      <c r="I731" s="38"/>
      <c r="J731" s="38"/>
      <c r="K731" s="38"/>
      <c r="L731" s="38"/>
      <c r="M731" s="38"/>
      <c r="N731" s="39"/>
      <c r="O731" s="38"/>
      <c r="P731" s="30"/>
      <c r="Q731" s="35"/>
      <c r="R731" s="31"/>
      <c r="S731" s="31"/>
      <c r="T731" s="31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F731" s="31"/>
      <c r="AG731" s="31"/>
      <c r="AH731" s="31"/>
      <c r="AI731" s="31"/>
      <c r="AJ731" s="31"/>
    </row>
    <row r="732" customFormat="false" ht="14.25" hidden="false" customHeight="true" outlineLevel="0" collapsed="false">
      <c r="A732" s="116"/>
      <c r="B732" s="19"/>
      <c r="C732" s="19"/>
      <c r="D732" s="36"/>
      <c r="E732" s="19"/>
      <c r="F732" s="37"/>
      <c r="G732" s="38"/>
      <c r="H732" s="38"/>
      <c r="I732" s="38"/>
      <c r="J732" s="38"/>
      <c r="K732" s="38"/>
      <c r="L732" s="38"/>
      <c r="M732" s="38"/>
      <c r="N732" s="39"/>
      <c r="O732" s="38"/>
      <c r="P732" s="30"/>
      <c r="Q732" s="35"/>
      <c r="R732" s="31"/>
      <c r="S732" s="31"/>
      <c r="T732" s="31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F732" s="31"/>
      <c r="AG732" s="31"/>
      <c r="AH732" s="31"/>
      <c r="AI732" s="31"/>
      <c r="AJ732" s="31"/>
    </row>
    <row r="733" customFormat="false" ht="14.25" hidden="false" customHeight="true" outlineLevel="0" collapsed="false">
      <c r="A733" s="116"/>
      <c r="B733" s="19"/>
      <c r="C733" s="19"/>
      <c r="D733" s="36"/>
      <c r="E733" s="19"/>
      <c r="F733" s="37"/>
      <c r="G733" s="38"/>
      <c r="H733" s="38"/>
      <c r="I733" s="38"/>
      <c r="J733" s="38"/>
      <c r="K733" s="38"/>
      <c r="L733" s="38"/>
      <c r="M733" s="38"/>
      <c r="N733" s="39"/>
      <c r="O733" s="38"/>
      <c r="P733" s="30"/>
      <c r="Q733" s="35"/>
      <c r="R733" s="31"/>
      <c r="S733" s="31"/>
      <c r="T733" s="31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F733" s="31"/>
      <c r="AG733" s="31"/>
      <c r="AH733" s="31"/>
      <c r="AI733" s="31"/>
      <c r="AJ733" s="31"/>
    </row>
    <row r="734" customFormat="false" ht="14.25" hidden="false" customHeight="true" outlineLevel="0" collapsed="false">
      <c r="A734" s="116"/>
      <c r="B734" s="19"/>
      <c r="C734" s="19"/>
      <c r="D734" s="36"/>
      <c r="E734" s="19"/>
      <c r="F734" s="37"/>
      <c r="G734" s="38"/>
      <c r="H734" s="38"/>
      <c r="I734" s="38"/>
      <c r="J734" s="38"/>
      <c r="K734" s="38"/>
      <c r="L734" s="38"/>
      <c r="M734" s="38"/>
      <c r="N734" s="39"/>
      <c r="O734" s="38"/>
      <c r="P734" s="30"/>
      <c r="Q734" s="35"/>
      <c r="R734" s="31"/>
      <c r="S734" s="31"/>
      <c r="T734" s="31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F734" s="31"/>
      <c r="AG734" s="31"/>
      <c r="AH734" s="31"/>
      <c r="AI734" s="31"/>
      <c r="AJ734" s="31"/>
    </row>
    <row r="735" customFormat="false" ht="14.25" hidden="false" customHeight="true" outlineLevel="0" collapsed="false">
      <c r="A735" s="116"/>
      <c r="B735" s="19"/>
      <c r="C735" s="19"/>
      <c r="D735" s="36"/>
      <c r="E735" s="19"/>
      <c r="F735" s="37"/>
      <c r="G735" s="38"/>
      <c r="H735" s="38"/>
      <c r="I735" s="38"/>
      <c r="J735" s="38"/>
      <c r="K735" s="38"/>
      <c r="L735" s="38"/>
      <c r="M735" s="38"/>
      <c r="N735" s="39"/>
      <c r="O735" s="38"/>
      <c r="P735" s="30"/>
      <c r="Q735" s="35"/>
      <c r="R735" s="31"/>
      <c r="S735" s="31"/>
      <c r="T735" s="31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F735" s="31"/>
      <c r="AG735" s="31"/>
      <c r="AH735" s="31"/>
      <c r="AI735" s="31"/>
      <c r="AJ735" s="31"/>
    </row>
    <row r="736" customFormat="false" ht="14.25" hidden="false" customHeight="true" outlineLevel="0" collapsed="false">
      <c r="A736" s="116"/>
      <c r="B736" s="19"/>
      <c r="C736" s="19"/>
      <c r="D736" s="36"/>
      <c r="E736" s="19"/>
      <c r="F736" s="37"/>
      <c r="G736" s="38"/>
      <c r="H736" s="38"/>
      <c r="I736" s="38"/>
      <c r="J736" s="38"/>
      <c r="K736" s="38"/>
      <c r="L736" s="38"/>
      <c r="M736" s="38"/>
      <c r="N736" s="39"/>
      <c r="O736" s="38"/>
      <c r="P736" s="30"/>
      <c r="Q736" s="35"/>
      <c r="R736" s="31"/>
      <c r="S736" s="31"/>
      <c r="T736" s="31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F736" s="31"/>
      <c r="AG736" s="31"/>
      <c r="AH736" s="31"/>
      <c r="AI736" s="31"/>
      <c r="AJ736" s="31"/>
    </row>
    <row r="737" customFormat="false" ht="14.25" hidden="false" customHeight="true" outlineLevel="0" collapsed="false">
      <c r="A737" s="116"/>
      <c r="B737" s="19"/>
      <c r="C737" s="19"/>
      <c r="D737" s="36"/>
      <c r="E737" s="19"/>
      <c r="F737" s="37"/>
      <c r="G737" s="38"/>
      <c r="H737" s="38"/>
      <c r="I737" s="38"/>
      <c r="J737" s="38"/>
      <c r="K737" s="38"/>
      <c r="L737" s="38"/>
      <c r="M737" s="38"/>
      <c r="N737" s="39"/>
      <c r="O737" s="38"/>
      <c r="P737" s="30"/>
      <c r="Q737" s="35"/>
      <c r="R737" s="31"/>
      <c r="S737" s="31"/>
      <c r="T737" s="31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F737" s="31"/>
      <c r="AG737" s="31"/>
      <c r="AH737" s="31"/>
      <c r="AI737" s="31"/>
      <c r="AJ737" s="31"/>
    </row>
    <row r="738" customFormat="false" ht="14.25" hidden="false" customHeight="true" outlineLevel="0" collapsed="false">
      <c r="A738" s="116"/>
      <c r="B738" s="19"/>
      <c r="C738" s="19"/>
      <c r="D738" s="36"/>
      <c r="E738" s="19"/>
      <c r="F738" s="37"/>
      <c r="G738" s="38"/>
      <c r="H738" s="38"/>
      <c r="I738" s="38"/>
      <c r="J738" s="38"/>
      <c r="K738" s="38"/>
      <c r="L738" s="38"/>
      <c r="M738" s="38"/>
      <c r="N738" s="39"/>
      <c r="O738" s="38"/>
      <c r="P738" s="30"/>
      <c r="Q738" s="35"/>
      <c r="R738" s="31"/>
      <c r="S738" s="31"/>
      <c r="T738" s="31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F738" s="31"/>
      <c r="AG738" s="31"/>
      <c r="AH738" s="31"/>
      <c r="AI738" s="31"/>
      <c r="AJ738" s="31"/>
    </row>
    <row r="739" customFormat="false" ht="14.25" hidden="false" customHeight="true" outlineLevel="0" collapsed="false">
      <c r="A739" s="116"/>
      <c r="B739" s="19"/>
      <c r="C739" s="19"/>
      <c r="D739" s="36"/>
      <c r="E739" s="19"/>
      <c r="F739" s="37"/>
      <c r="G739" s="38"/>
      <c r="H739" s="38"/>
      <c r="I739" s="38"/>
      <c r="J739" s="38"/>
      <c r="K739" s="38"/>
      <c r="L739" s="38"/>
      <c r="M739" s="38"/>
      <c r="N739" s="39"/>
      <c r="O739" s="38"/>
      <c r="P739" s="30"/>
      <c r="Q739" s="35"/>
      <c r="R739" s="31"/>
      <c r="S739" s="31"/>
      <c r="T739" s="31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F739" s="31"/>
      <c r="AG739" s="31"/>
      <c r="AH739" s="31"/>
      <c r="AI739" s="31"/>
      <c r="AJ739" s="31"/>
    </row>
    <row r="740" customFormat="false" ht="14.25" hidden="false" customHeight="true" outlineLevel="0" collapsed="false">
      <c r="A740" s="116"/>
      <c r="B740" s="19"/>
      <c r="C740" s="19"/>
      <c r="D740" s="36"/>
      <c r="E740" s="19"/>
      <c r="F740" s="37"/>
      <c r="G740" s="38"/>
      <c r="H740" s="38"/>
      <c r="I740" s="38"/>
      <c r="J740" s="38"/>
      <c r="K740" s="38"/>
      <c r="L740" s="38"/>
      <c r="M740" s="38"/>
      <c r="N740" s="39"/>
      <c r="O740" s="38"/>
      <c r="P740" s="30"/>
      <c r="Q740" s="35"/>
      <c r="R740" s="31"/>
      <c r="S740" s="31"/>
      <c r="T740" s="31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F740" s="31"/>
      <c r="AG740" s="31"/>
      <c r="AH740" s="31"/>
      <c r="AI740" s="31"/>
      <c r="AJ740" s="31"/>
    </row>
    <row r="741" customFormat="false" ht="14.25" hidden="false" customHeight="true" outlineLevel="0" collapsed="false">
      <c r="A741" s="116"/>
      <c r="B741" s="19"/>
      <c r="C741" s="19"/>
      <c r="D741" s="36"/>
      <c r="E741" s="19"/>
      <c r="F741" s="37"/>
      <c r="G741" s="38"/>
      <c r="H741" s="38"/>
      <c r="I741" s="38"/>
      <c r="J741" s="38"/>
      <c r="K741" s="38"/>
      <c r="L741" s="38"/>
      <c r="M741" s="38"/>
      <c r="N741" s="39"/>
      <c r="O741" s="38"/>
      <c r="P741" s="30"/>
      <c r="Q741" s="35"/>
      <c r="R741" s="31"/>
      <c r="S741" s="31"/>
      <c r="T741" s="31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F741" s="31"/>
      <c r="AG741" s="31"/>
      <c r="AH741" s="31"/>
      <c r="AI741" s="31"/>
      <c r="AJ741" s="31"/>
    </row>
    <row r="742" customFormat="false" ht="14.25" hidden="false" customHeight="true" outlineLevel="0" collapsed="false">
      <c r="A742" s="116"/>
      <c r="B742" s="19"/>
      <c r="C742" s="19"/>
      <c r="D742" s="36"/>
      <c r="E742" s="19"/>
      <c r="F742" s="37"/>
      <c r="G742" s="38"/>
      <c r="H742" s="38"/>
      <c r="I742" s="38"/>
      <c r="J742" s="38"/>
      <c r="K742" s="38"/>
      <c r="L742" s="38"/>
      <c r="M742" s="38"/>
      <c r="N742" s="39"/>
      <c r="O742" s="38"/>
      <c r="P742" s="30"/>
      <c r="Q742" s="35"/>
      <c r="R742" s="31"/>
      <c r="S742" s="31"/>
      <c r="T742" s="31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F742" s="31"/>
      <c r="AG742" s="31"/>
      <c r="AH742" s="31"/>
      <c r="AI742" s="31"/>
      <c r="AJ742" s="31"/>
    </row>
    <row r="743" customFormat="false" ht="14.25" hidden="false" customHeight="true" outlineLevel="0" collapsed="false">
      <c r="A743" s="116"/>
      <c r="B743" s="19"/>
      <c r="C743" s="19"/>
      <c r="D743" s="36"/>
      <c r="E743" s="19"/>
      <c r="F743" s="37"/>
      <c r="G743" s="38"/>
      <c r="H743" s="38"/>
      <c r="I743" s="38"/>
      <c r="J743" s="38"/>
      <c r="K743" s="38"/>
      <c r="L743" s="38"/>
      <c r="M743" s="38"/>
      <c r="N743" s="39"/>
      <c r="O743" s="38"/>
      <c r="P743" s="30"/>
      <c r="Q743" s="35"/>
      <c r="R743" s="31"/>
      <c r="S743" s="31"/>
      <c r="T743" s="31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F743" s="31"/>
      <c r="AG743" s="31"/>
      <c r="AH743" s="31"/>
      <c r="AI743" s="31"/>
      <c r="AJ743" s="31"/>
    </row>
    <row r="744" customFormat="false" ht="14.25" hidden="false" customHeight="true" outlineLevel="0" collapsed="false">
      <c r="A744" s="116"/>
      <c r="B744" s="19"/>
      <c r="C744" s="19"/>
      <c r="D744" s="36"/>
      <c r="E744" s="19"/>
      <c r="F744" s="37"/>
      <c r="G744" s="38"/>
      <c r="H744" s="38"/>
      <c r="I744" s="38"/>
      <c r="J744" s="38"/>
      <c r="K744" s="38"/>
      <c r="L744" s="38"/>
      <c r="M744" s="38"/>
      <c r="N744" s="39"/>
      <c r="O744" s="38"/>
      <c r="P744" s="30"/>
      <c r="Q744" s="35"/>
      <c r="R744" s="31"/>
      <c r="S744" s="31"/>
      <c r="T744" s="31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F744" s="31"/>
      <c r="AG744" s="31"/>
      <c r="AH744" s="31"/>
      <c r="AI744" s="31"/>
      <c r="AJ744" s="31"/>
    </row>
    <row r="745" customFormat="false" ht="14.25" hidden="false" customHeight="true" outlineLevel="0" collapsed="false">
      <c r="A745" s="116"/>
      <c r="B745" s="19"/>
      <c r="C745" s="19"/>
      <c r="D745" s="36"/>
      <c r="E745" s="19"/>
      <c r="F745" s="37"/>
      <c r="G745" s="38"/>
      <c r="H745" s="38"/>
      <c r="I745" s="38"/>
      <c r="J745" s="38"/>
      <c r="K745" s="38"/>
      <c r="L745" s="38"/>
      <c r="M745" s="38"/>
      <c r="N745" s="39"/>
      <c r="O745" s="38"/>
      <c r="P745" s="30"/>
      <c r="Q745" s="35"/>
      <c r="R745" s="31"/>
      <c r="S745" s="31"/>
      <c r="T745" s="31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F745" s="31"/>
      <c r="AG745" s="31"/>
      <c r="AH745" s="31"/>
      <c r="AI745" s="31"/>
      <c r="AJ745" s="31"/>
    </row>
    <row r="746" customFormat="false" ht="14.25" hidden="false" customHeight="true" outlineLevel="0" collapsed="false">
      <c r="A746" s="116"/>
      <c r="B746" s="19"/>
      <c r="C746" s="19"/>
      <c r="D746" s="36"/>
      <c r="E746" s="19"/>
      <c r="F746" s="37"/>
      <c r="G746" s="38"/>
      <c r="H746" s="38"/>
      <c r="I746" s="38"/>
      <c r="J746" s="38"/>
      <c r="K746" s="38"/>
      <c r="L746" s="38"/>
      <c r="M746" s="38"/>
      <c r="N746" s="39"/>
      <c r="O746" s="38"/>
      <c r="P746" s="30"/>
      <c r="Q746" s="35"/>
      <c r="R746" s="31"/>
      <c r="S746" s="31"/>
      <c r="T746" s="31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F746" s="31"/>
      <c r="AG746" s="31"/>
      <c r="AH746" s="31"/>
      <c r="AI746" s="31"/>
      <c r="AJ746" s="31"/>
    </row>
    <row r="747" customFormat="false" ht="14.25" hidden="false" customHeight="true" outlineLevel="0" collapsed="false">
      <c r="A747" s="116"/>
      <c r="B747" s="19"/>
      <c r="C747" s="19"/>
      <c r="D747" s="36"/>
      <c r="E747" s="19"/>
      <c r="F747" s="37"/>
      <c r="G747" s="38"/>
      <c r="H747" s="38"/>
      <c r="I747" s="38"/>
      <c r="J747" s="38"/>
      <c r="K747" s="38"/>
      <c r="L747" s="38"/>
      <c r="M747" s="38"/>
      <c r="N747" s="39"/>
      <c r="O747" s="38"/>
      <c r="P747" s="30"/>
      <c r="Q747" s="35"/>
      <c r="R747" s="31"/>
      <c r="S747" s="31"/>
      <c r="T747" s="31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F747" s="31"/>
      <c r="AG747" s="31"/>
      <c r="AH747" s="31"/>
      <c r="AI747" s="31"/>
      <c r="AJ747" s="31"/>
    </row>
    <row r="748" customFormat="false" ht="14.25" hidden="false" customHeight="true" outlineLevel="0" collapsed="false">
      <c r="A748" s="116"/>
      <c r="B748" s="19"/>
      <c r="C748" s="19"/>
      <c r="D748" s="36"/>
      <c r="E748" s="19"/>
      <c r="F748" s="37"/>
      <c r="G748" s="38"/>
      <c r="H748" s="38"/>
      <c r="I748" s="38"/>
      <c r="J748" s="38"/>
      <c r="K748" s="38"/>
      <c r="L748" s="38"/>
      <c r="M748" s="38"/>
      <c r="N748" s="39"/>
      <c r="O748" s="38"/>
      <c r="P748" s="30"/>
      <c r="Q748" s="35"/>
      <c r="R748" s="31"/>
      <c r="S748" s="31"/>
      <c r="T748" s="31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F748" s="31"/>
      <c r="AG748" s="31"/>
      <c r="AH748" s="31"/>
      <c r="AI748" s="31"/>
      <c r="AJ748" s="31"/>
    </row>
    <row r="749" customFormat="false" ht="14.25" hidden="false" customHeight="true" outlineLevel="0" collapsed="false">
      <c r="A749" s="116"/>
      <c r="B749" s="19"/>
      <c r="C749" s="19"/>
      <c r="D749" s="36"/>
      <c r="E749" s="19"/>
      <c r="F749" s="37"/>
      <c r="G749" s="38"/>
      <c r="H749" s="38"/>
      <c r="I749" s="38"/>
      <c r="J749" s="38"/>
      <c r="K749" s="38"/>
      <c r="L749" s="38"/>
      <c r="M749" s="38"/>
      <c r="N749" s="39"/>
      <c r="O749" s="38"/>
      <c r="P749" s="30"/>
      <c r="Q749" s="35"/>
      <c r="R749" s="31"/>
      <c r="S749" s="31"/>
      <c r="T749" s="31"/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F749" s="31"/>
      <c r="AG749" s="31"/>
      <c r="AH749" s="31"/>
      <c r="AI749" s="31"/>
      <c r="AJ749" s="31"/>
    </row>
    <row r="750" customFormat="false" ht="14.25" hidden="false" customHeight="true" outlineLevel="0" collapsed="false">
      <c r="A750" s="116"/>
      <c r="B750" s="19"/>
      <c r="C750" s="19"/>
      <c r="D750" s="36"/>
      <c r="E750" s="19"/>
      <c r="F750" s="37"/>
      <c r="G750" s="38"/>
      <c r="H750" s="38"/>
      <c r="I750" s="38"/>
      <c r="J750" s="38"/>
      <c r="K750" s="38"/>
      <c r="L750" s="38"/>
      <c r="M750" s="38"/>
      <c r="N750" s="39"/>
      <c r="O750" s="38"/>
      <c r="P750" s="30"/>
      <c r="Q750" s="35"/>
      <c r="R750" s="31"/>
      <c r="S750" s="31"/>
      <c r="T750" s="31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F750" s="31"/>
      <c r="AG750" s="31"/>
      <c r="AH750" s="31"/>
      <c r="AI750" s="31"/>
      <c r="AJ750" s="31"/>
    </row>
    <row r="751" customFormat="false" ht="14.25" hidden="false" customHeight="true" outlineLevel="0" collapsed="false">
      <c r="A751" s="116"/>
      <c r="B751" s="19"/>
      <c r="C751" s="19"/>
      <c r="D751" s="36"/>
      <c r="E751" s="19"/>
      <c r="F751" s="37"/>
      <c r="G751" s="38"/>
      <c r="H751" s="38"/>
      <c r="I751" s="38"/>
      <c r="J751" s="38"/>
      <c r="K751" s="38"/>
      <c r="L751" s="38"/>
      <c r="M751" s="38"/>
      <c r="N751" s="39"/>
      <c r="O751" s="38"/>
      <c r="P751" s="30"/>
      <c r="Q751" s="35"/>
      <c r="R751" s="31"/>
      <c r="S751" s="31"/>
      <c r="T751" s="31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F751" s="31"/>
      <c r="AG751" s="31"/>
      <c r="AH751" s="31"/>
      <c r="AI751" s="31"/>
      <c r="AJ751" s="31"/>
    </row>
    <row r="752" customFormat="false" ht="14.25" hidden="false" customHeight="true" outlineLevel="0" collapsed="false">
      <c r="A752" s="116"/>
      <c r="B752" s="19"/>
      <c r="C752" s="19"/>
      <c r="D752" s="36"/>
      <c r="E752" s="19"/>
      <c r="F752" s="37"/>
      <c r="G752" s="38"/>
      <c r="H752" s="38"/>
      <c r="I752" s="38"/>
      <c r="J752" s="38"/>
      <c r="K752" s="38"/>
      <c r="L752" s="38"/>
      <c r="M752" s="38"/>
      <c r="N752" s="39"/>
      <c r="O752" s="38"/>
      <c r="P752" s="30"/>
      <c r="Q752" s="35"/>
      <c r="R752" s="31"/>
      <c r="S752" s="31"/>
      <c r="T752" s="31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F752" s="31"/>
      <c r="AG752" s="31"/>
      <c r="AH752" s="31"/>
      <c r="AI752" s="31"/>
      <c r="AJ752" s="31"/>
    </row>
    <row r="753" customFormat="false" ht="14.25" hidden="false" customHeight="true" outlineLevel="0" collapsed="false">
      <c r="A753" s="116"/>
      <c r="B753" s="19"/>
      <c r="C753" s="19"/>
      <c r="D753" s="36"/>
      <c r="E753" s="19"/>
      <c r="F753" s="37"/>
      <c r="G753" s="38"/>
      <c r="H753" s="38"/>
      <c r="I753" s="38"/>
      <c r="J753" s="38"/>
      <c r="K753" s="38"/>
      <c r="L753" s="38"/>
      <c r="M753" s="38"/>
      <c r="N753" s="39"/>
      <c r="O753" s="38"/>
      <c r="P753" s="30"/>
      <c r="Q753" s="35"/>
      <c r="R753" s="31"/>
      <c r="S753" s="31"/>
      <c r="T753" s="31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F753" s="31"/>
      <c r="AG753" s="31"/>
      <c r="AH753" s="31"/>
      <c r="AI753" s="31"/>
      <c r="AJ753" s="31"/>
    </row>
    <row r="754" customFormat="false" ht="14.25" hidden="false" customHeight="true" outlineLevel="0" collapsed="false">
      <c r="A754" s="116"/>
      <c r="B754" s="19"/>
      <c r="C754" s="19"/>
      <c r="D754" s="36"/>
      <c r="E754" s="19"/>
      <c r="F754" s="37"/>
      <c r="G754" s="38"/>
      <c r="H754" s="38"/>
      <c r="I754" s="38"/>
      <c r="J754" s="38"/>
      <c r="K754" s="38"/>
      <c r="L754" s="38"/>
      <c r="M754" s="38"/>
      <c r="N754" s="39"/>
      <c r="O754" s="38"/>
      <c r="P754" s="30"/>
      <c r="Q754" s="35"/>
      <c r="R754" s="31"/>
      <c r="S754" s="31"/>
      <c r="T754" s="31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F754" s="31"/>
      <c r="AG754" s="31"/>
      <c r="AH754" s="31"/>
      <c r="AI754" s="31"/>
      <c r="AJ754" s="31"/>
    </row>
    <row r="755" customFormat="false" ht="14.25" hidden="false" customHeight="true" outlineLevel="0" collapsed="false">
      <c r="A755" s="116"/>
      <c r="B755" s="19"/>
      <c r="C755" s="19"/>
      <c r="D755" s="36"/>
      <c r="E755" s="19"/>
      <c r="F755" s="37"/>
      <c r="G755" s="38"/>
      <c r="H755" s="38"/>
      <c r="I755" s="38"/>
      <c r="J755" s="38"/>
      <c r="K755" s="38"/>
      <c r="L755" s="38"/>
      <c r="M755" s="38"/>
      <c r="N755" s="39"/>
      <c r="O755" s="38"/>
      <c r="P755" s="30"/>
      <c r="Q755" s="35"/>
      <c r="R755" s="31"/>
      <c r="S755" s="31"/>
      <c r="T755" s="31"/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F755" s="31"/>
      <c r="AG755" s="31"/>
      <c r="AH755" s="31"/>
      <c r="AI755" s="31"/>
      <c r="AJ755" s="31"/>
    </row>
    <row r="756" customFormat="false" ht="14.25" hidden="false" customHeight="true" outlineLevel="0" collapsed="false">
      <c r="A756" s="116"/>
      <c r="B756" s="19"/>
      <c r="C756" s="19"/>
      <c r="D756" s="36"/>
      <c r="E756" s="19"/>
      <c r="F756" s="37"/>
      <c r="G756" s="38"/>
      <c r="H756" s="38"/>
      <c r="I756" s="38"/>
      <c r="J756" s="38"/>
      <c r="K756" s="38"/>
      <c r="L756" s="38"/>
      <c r="M756" s="38"/>
      <c r="N756" s="39"/>
      <c r="O756" s="38"/>
      <c r="P756" s="30"/>
      <c r="Q756" s="35"/>
      <c r="R756" s="31"/>
      <c r="S756" s="31"/>
      <c r="T756" s="31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F756" s="31"/>
      <c r="AG756" s="31"/>
      <c r="AH756" s="31"/>
      <c r="AI756" s="31"/>
      <c r="AJ756" s="31"/>
    </row>
    <row r="757" customFormat="false" ht="14.25" hidden="false" customHeight="true" outlineLevel="0" collapsed="false">
      <c r="A757" s="116"/>
      <c r="B757" s="19"/>
      <c r="C757" s="19"/>
      <c r="D757" s="36"/>
      <c r="E757" s="19"/>
      <c r="F757" s="37"/>
      <c r="G757" s="38"/>
      <c r="H757" s="38"/>
      <c r="I757" s="38"/>
      <c r="J757" s="38"/>
      <c r="K757" s="38"/>
      <c r="L757" s="38"/>
      <c r="M757" s="38"/>
      <c r="N757" s="39"/>
      <c r="O757" s="38"/>
      <c r="P757" s="30"/>
      <c r="Q757" s="35"/>
      <c r="R757" s="31"/>
      <c r="S757" s="31"/>
      <c r="T757" s="31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F757" s="31"/>
      <c r="AG757" s="31"/>
      <c r="AH757" s="31"/>
      <c r="AI757" s="31"/>
      <c r="AJ757" s="31"/>
    </row>
    <row r="758" customFormat="false" ht="14.25" hidden="false" customHeight="true" outlineLevel="0" collapsed="false">
      <c r="A758" s="116"/>
      <c r="B758" s="19"/>
      <c r="C758" s="19"/>
      <c r="D758" s="36"/>
      <c r="E758" s="19"/>
      <c r="F758" s="37"/>
      <c r="G758" s="38"/>
      <c r="H758" s="38"/>
      <c r="I758" s="38"/>
      <c r="J758" s="38"/>
      <c r="K758" s="38"/>
      <c r="L758" s="38"/>
      <c r="M758" s="38"/>
      <c r="N758" s="39"/>
      <c r="O758" s="38"/>
      <c r="P758" s="30"/>
      <c r="Q758" s="35"/>
      <c r="R758" s="31"/>
      <c r="S758" s="31"/>
      <c r="T758" s="31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F758" s="31"/>
      <c r="AG758" s="31"/>
      <c r="AH758" s="31"/>
      <c r="AI758" s="31"/>
      <c r="AJ758" s="31"/>
    </row>
    <row r="759" customFormat="false" ht="14.25" hidden="false" customHeight="true" outlineLevel="0" collapsed="false">
      <c r="A759" s="116"/>
      <c r="B759" s="19"/>
      <c r="C759" s="19"/>
      <c r="D759" s="36"/>
      <c r="E759" s="19"/>
      <c r="F759" s="37"/>
      <c r="G759" s="38"/>
      <c r="H759" s="38"/>
      <c r="I759" s="38"/>
      <c r="J759" s="38"/>
      <c r="K759" s="38"/>
      <c r="L759" s="38"/>
      <c r="M759" s="38"/>
      <c r="N759" s="39"/>
      <c r="O759" s="38"/>
      <c r="P759" s="30"/>
      <c r="Q759" s="35"/>
      <c r="R759" s="31"/>
      <c r="S759" s="31"/>
      <c r="T759" s="31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F759" s="31"/>
      <c r="AG759" s="31"/>
      <c r="AH759" s="31"/>
      <c r="AI759" s="31"/>
      <c r="AJ759" s="31"/>
    </row>
    <row r="760" customFormat="false" ht="14.25" hidden="false" customHeight="true" outlineLevel="0" collapsed="false">
      <c r="A760" s="116"/>
      <c r="B760" s="19"/>
      <c r="C760" s="19"/>
      <c r="D760" s="36"/>
      <c r="E760" s="19"/>
      <c r="F760" s="37"/>
      <c r="G760" s="38"/>
      <c r="H760" s="38"/>
      <c r="I760" s="38"/>
      <c r="J760" s="38"/>
      <c r="K760" s="38"/>
      <c r="L760" s="38"/>
      <c r="M760" s="38"/>
      <c r="N760" s="39"/>
      <c r="O760" s="38"/>
      <c r="P760" s="30"/>
      <c r="Q760" s="35"/>
      <c r="R760" s="31"/>
      <c r="S760" s="31"/>
      <c r="T760" s="31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F760" s="31"/>
      <c r="AG760" s="31"/>
      <c r="AH760" s="31"/>
      <c r="AI760" s="31"/>
      <c r="AJ760" s="31"/>
    </row>
    <row r="761" customFormat="false" ht="14.25" hidden="false" customHeight="true" outlineLevel="0" collapsed="false">
      <c r="A761" s="116"/>
      <c r="B761" s="19"/>
      <c r="C761" s="19"/>
      <c r="D761" s="36"/>
      <c r="E761" s="19"/>
      <c r="F761" s="37"/>
      <c r="G761" s="38"/>
      <c r="H761" s="38"/>
      <c r="I761" s="38"/>
      <c r="J761" s="38"/>
      <c r="K761" s="38"/>
      <c r="L761" s="38"/>
      <c r="M761" s="38"/>
      <c r="N761" s="39"/>
      <c r="O761" s="38"/>
      <c r="P761" s="30"/>
      <c r="Q761" s="35"/>
      <c r="R761" s="31"/>
      <c r="S761" s="31"/>
      <c r="T761" s="31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F761" s="31"/>
      <c r="AG761" s="31"/>
      <c r="AH761" s="31"/>
      <c r="AI761" s="31"/>
      <c r="AJ761" s="31"/>
    </row>
    <row r="762" customFormat="false" ht="14.25" hidden="false" customHeight="true" outlineLevel="0" collapsed="false">
      <c r="A762" s="116"/>
      <c r="B762" s="19"/>
      <c r="C762" s="19"/>
      <c r="D762" s="36"/>
      <c r="E762" s="19"/>
      <c r="F762" s="37"/>
      <c r="G762" s="38"/>
      <c r="H762" s="38"/>
      <c r="I762" s="38"/>
      <c r="J762" s="38"/>
      <c r="K762" s="38"/>
      <c r="L762" s="38"/>
      <c r="M762" s="38"/>
      <c r="N762" s="39"/>
      <c r="O762" s="38"/>
      <c r="P762" s="30"/>
      <c r="Q762" s="35"/>
      <c r="R762" s="31"/>
      <c r="S762" s="31"/>
      <c r="T762" s="31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F762" s="31"/>
      <c r="AG762" s="31"/>
      <c r="AH762" s="31"/>
      <c r="AI762" s="31"/>
      <c r="AJ762" s="31"/>
    </row>
    <row r="763" customFormat="false" ht="14.25" hidden="false" customHeight="true" outlineLevel="0" collapsed="false">
      <c r="A763" s="116"/>
      <c r="B763" s="19"/>
      <c r="C763" s="19"/>
      <c r="D763" s="36"/>
      <c r="E763" s="19"/>
      <c r="F763" s="37"/>
      <c r="G763" s="38"/>
      <c r="H763" s="38"/>
      <c r="I763" s="38"/>
      <c r="J763" s="38"/>
      <c r="K763" s="38"/>
      <c r="L763" s="38"/>
      <c r="M763" s="38"/>
      <c r="N763" s="39"/>
      <c r="O763" s="38"/>
      <c r="P763" s="30"/>
      <c r="Q763" s="35"/>
      <c r="R763" s="31"/>
      <c r="S763" s="31"/>
      <c r="T763" s="31"/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F763" s="31"/>
      <c r="AG763" s="31"/>
      <c r="AH763" s="31"/>
      <c r="AI763" s="31"/>
      <c r="AJ763" s="31"/>
    </row>
    <row r="764" customFormat="false" ht="14.25" hidden="false" customHeight="true" outlineLevel="0" collapsed="false">
      <c r="A764" s="116"/>
      <c r="B764" s="19"/>
      <c r="C764" s="19"/>
      <c r="D764" s="36"/>
      <c r="E764" s="19"/>
      <c r="F764" s="37"/>
      <c r="G764" s="38"/>
      <c r="H764" s="38"/>
      <c r="I764" s="38"/>
      <c r="J764" s="38"/>
      <c r="K764" s="38"/>
      <c r="L764" s="38"/>
      <c r="M764" s="38"/>
      <c r="N764" s="39"/>
      <c r="O764" s="38"/>
      <c r="P764" s="30"/>
      <c r="Q764" s="35"/>
      <c r="R764" s="31"/>
      <c r="S764" s="31"/>
      <c r="T764" s="31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F764" s="31"/>
      <c r="AG764" s="31"/>
      <c r="AH764" s="31"/>
      <c r="AI764" s="31"/>
      <c r="AJ764" s="31"/>
    </row>
    <row r="765" customFormat="false" ht="14.25" hidden="false" customHeight="true" outlineLevel="0" collapsed="false">
      <c r="A765" s="116"/>
      <c r="B765" s="19"/>
      <c r="C765" s="19"/>
      <c r="D765" s="36"/>
      <c r="E765" s="19"/>
      <c r="F765" s="37"/>
      <c r="G765" s="38"/>
      <c r="H765" s="38"/>
      <c r="I765" s="38"/>
      <c r="J765" s="38"/>
      <c r="K765" s="38"/>
      <c r="L765" s="38"/>
      <c r="M765" s="38"/>
      <c r="N765" s="39"/>
      <c r="O765" s="38"/>
      <c r="P765" s="30"/>
      <c r="Q765" s="35"/>
      <c r="R765" s="31"/>
      <c r="S765" s="31"/>
      <c r="T765" s="31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F765" s="31"/>
      <c r="AG765" s="31"/>
      <c r="AH765" s="31"/>
      <c r="AI765" s="31"/>
      <c r="AJ765" s="31"/>
    </row>
    <row r="766" customFormat="false" ht="14.25" hidden="false" customHeight="true" outlineLevel="0" collapsed="false">
      <c r="A766" s="116"/>
      <c r="B766" s="19"/>
      <c r="C766" s="19"/>
      <c r="D766" s="36"/>
      <c r="E766" s="19"/>
      <c r="F766" s="37"/>
      <c r="G766" s="38"/>
      <c r="H766" s="38"/>
      <c r="I766" s="38"/>
      <c r="J766" s="38"/>
      <c r="K766" s="38"/>
      <c r="L766" s="38"/>
      <c r="M766" s="38"/>
      <c r="N766" s="39"/>
      <c r="O766" s="38"/>
      <c r="P766" s="30"/>
      <c r="Q766" s="35"/>
      <c r="R766" s="31"/>
      <c r="S766" s="31"/>
      <c r="T766" s="31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F766" s="31"/>
      <c r="AG766" s="31"/>
      <c r="AH766" s="31"/>
      <c r="AI766" s="31"/>
      <c r="AJ766" s="31"/>
    </row>
    <row r="767" customFormat="false" ht="14.25" hidden="false" customHeight="true" outlineLevel="0" collapsed="false">
      <c r="A767" s="116"/>
      <c r="B767" s="19"/>
      <c r="C767" s="19"/>
      <c r="D767" s="36"/>
      <c r="E767" s="19"/>
      <c r="F767" s="37"/>
      <c r="G767" s="38"/>
      <c r="H767" s="38"/>
      <c r="I767" s="38"/>
      <c r="J767" s="38"/>
      <c r="K767" s="38"/>
      <c r="L767" s="38"/>
      <c r="M767" s="38"/>
      <c r="N767" s="39"/>
      <c r="O767" s="38"/>
      <c r="P767" s="30"/>
      <c r="Q767" s="35"/>
      <c r="R767" s="31"/>
      <c r="S767" s="31"/>
      <c r="T767" s="31"/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F767" s="31"/>
      <c r="AG767" s="31"/>
      <c r="AH767" s="31"/>
      <c r="AI767" s="31"/>
      <c r="AJ767" s="31"/>
    </row>
    <row r="768" customFormat="false" ht="14.25" hidden="false" customHeight="true" outlineLevel="0" collapsed="false">
      <c r="A768" s="116"/>
      <c r="B768" s="19"/>
      <c r="C768" s="19"/>
      <c r="D768" s="36"/>
      <c r="E768" s="19"/>
      <c r="F768" s="37"/>
      <c r="G768" s="38"/>
      <c r="H768" s="38"/>
      <c r="I768" s="38"/>
      <c r="J768" s="38"/>
      <c r="K768" s="38"/>
      <c r="L768" s="38"/>
      <c r="M768" s="38"/>
      <c r="N768" s="39"/>
      <c r="O768" s="38"/>
      <c r="P768" s="30"/>
      <c r="Q768" s="35"/>
      <c r="R768" s="31"/>
      <c r="S768" s="31"/>
      <c r="T768" s="31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F768" s="31"/>
      <c r="AG768" s="31"/>
      <c r="AH768" s="31"/>
      <c r="AI768" s="31"/>
      <c r="AJ768" s="31"/>
    </row>
    <row r="769" customFormat="false" ht="14.25" hidden="false" customHeight="true" outlineLevel="0" collapsed="false">
      <c r="A769" s="116"/>
      <c r="B769" s="19"/>
      <c r="C769" s="19"/>
      <c r="D769" s="36"/>
      <c r="E769" s="19"/>
      <c r="F769" s="37"/>
      <c r="G769" s="38"/>
      <c r="H769" s="38"/>
      <c r="I769" s="38"/>
      <c r="J769" s="38"/>
      <c r="K769" s="38"/>
      <c r="L769" s="38"/>
      <c r="M769" s="38"/>
      <c r="N769" s="39"/>
      <c r="O769" s="38"/>
      <c r="P769" s="30"/>
      <c r="Q769" s="35"/>
      <c r="R769" s="31"/>
      <c r="S769" s="31"/>
      <c r="T769" s="31"/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F769" s="31"/>
      <c r="AG769" s="31"/>
      <c r="AH769" s="31"/>
      <c r="AI769" s="31"/>
      <c r="AJ769" s="31"/>
    </row>
    <row r="770" customFormat="false" ht="14.25" hidden="false" customHeight="true" outlineLevel="0" collapsed="false">
      <c r="A770" s="116"/>
      <c r="B770" s="19"/>
      <c r="C770" s="19"/>
      <c r="D770" s="36"/>
      <c r="E770" s="19"/>
      <c r="F770" s="37"/>
      <c r="G770" s="38"/>
      <c r="H770" s="38"/>
      <c r="I770" s="38"/>
      <c r="J770" s="38"/>
      <c r="K770" s="38"/>
      <c r="L770" s="38"/>
      <c r="M770" s="38"/>
      <c r="N770" s="39"/>
      <c r="O770" s="38"/>
      <c r="P770" s="30"/>
      <c r="Q770" s="35"/>
      <c r="R770" s="31"/>
      <c r="S770" s="31"/>
      <c r="T770" s="31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F770" s="31"/>
      <c r="AG770" s="31"/>
      <c r="AH770" s="31"/>
      <c r="AI770" s="31"/>
      <c r="AJ770" s="31"/>
    </row>
    <row r="771" customFormat="false" ht="14.25" hidden="false" customHeight="true" outlineLevel="0" collapsed="false">
      <c r="A771" s="116"/>
      <c r="B771" s="19"/>
      <c r="C771" s="19"/>
      <c r="D771" s="36"/>
      <c r="E771" s="19"/>
      <c r="F771" s="37"/>
      <c r="G771" s="38"/>
      <c r="H771" s="38"/>
      <c r="I771" s="38"/>
      <c r="J771" s="38"/>
      <c r="K771" s="38"/>
      <c r="L771" s="38"/>
      <c r="M771" s="38"/>
      <c r="N771" s="39"/>
      <c r="O771" s="38"/>
      <c r="P771" s="30"/>
      <c r="Q771" s="35"/>
      <c r="R771" s="31"/>
      <c r="S771" s="31"/>
      <c r="T771" s="31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F771" s="31"/>
      <c r="AG771" s="31"/>
      <c r="AH771" s="31"/>
      <c r="AI771" s="31"/>
      <c r="AJ771" s="31"/>
    </row>
    <row r="772" customFormat="false" ht="14.25" hidden="false" customHeight="true" outlineLevel="0" collapsed="false">
      <c r="A772" s="116"/>
      <c r="B772" s="19"/>
      <c r="C772" s="19"/>
      <c r="D772" s="36"/>
      <c r="E772" s="19"/>
      <c r="F772" s="37"/>
      <c r="G772" s="38"/>
      <c r="H772" s="38"/>
      <c r="I772" s="38"/>
      <c r="J772" s="38"/>
      <c r="K772" s="38"/>
      <c r="L772" s="38"/>
      <c r="M772" s="38"/>
      <c r="N772" s="39"/>
      <c r="O772" s="38"/>
      <c r="P772" s="30"/>
      <c r="Q772" s="35"/>
      <c r="R772" s="31"/>
      <c r="S772" s="31"/>
      <c r="T772" s="31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F772" s="31"/>
      <c r="AG772" s="31"/>
      <c r="AH772" s="31"/>
      <c r="AI772" s="31"/>
      <c r="AJ772" s="31"/>
    </row>
    <row r="773" customFormat="false" ht="14.25" hidden="false" customHeight="true" outlineLevel="0" collapsed="false">
      <c r="A773" s="116"/>
      <c r="B773" s="19"/>
      <c r="C773" s="19"/>
      <c r="D773" s="36"/>
      <c r="E773" s="19"/>
      <c r="F773" s="37"/>
      <c r="G773" s="38"/>
      <c r="H773" s="38"/>
      <c r="I773" s="38"/>
      <c r="J773" s="38"/>
      <c r="K773" s="38"/>
      <c r="L773" s="38"/>
      <c r="M773" s="38"/>
      <c r="N773" s="39"/>
      <c r="O773" s="38"/>
      <c r="P773" s="30"/>
      <c r="Q773" s="35"/>
      <c r="R773" s="31"/>
      <c r="S773" s="31"/>
      <c r="T773" s="31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F773" s="31"/>
      <c r="AG773" s="31"/>
      <c r="AH773" s="31"/>
      <c r="AI773" s="31"/>
      <c r="AJ773" s="31"/>
    </row>
    <row r="774" customFormat="false" ht="14.25" hidden="false" customHeight="true" outlineLevel="0" collapsed="false">
      <c r="A774" s="116"/>
      <c r="B774" s="19"/>
      <c r="C774" s="19"/>
      <c r="D774" s="36"/>
      <c r="E774" s="19"/>
      <c r="F774" s="37"/>
      <c r="G774" s="38"/>
      <c r="H774" s="38"/>
      <c r="I774" s="38"/>
      <c r="J774" s="38"/>
      <c r="K774" s="38"/>
      <c r="L774" s="38"/>
      <c r="M774" s="38"/>
      <c r="N774" s="39"/>
      <c r="O774" s="38"/>
      <c r="P774" s="30"/>
      <c r="Q774" s="35"/>
      <c r="R774" s="31"/>
      <c r="S774" s="31"/>
      <c r="T774" s="31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F774" s="31"/>
      <c r="AG774" s="31"/>
      <c r="AH774" s="31"/>
      <c r="AI774" s="31"/>
      <c r="AJ774" s="31"/>
    </row>
    <row r="775" customFormat="false" ht="14.25" hidden="false" customHeight="true" outlineLevel="0" collapsed="false">
      <c r="A775" s="116"/>
      <c r="B775" s="19"/>
      <c r="C775" s="19"/>
      <c r="D775" s="36"/>
      <c r="E775" s="19"/>
      <c r="F775" s="37"/>
      <c r="G775" s="38"/>
      <c r="H775" s="38"/>
      <c r="I775" s="38"/>
      <c r="J775" s="38"/>
      <c r="K775" s="38"/>
      <c r="L775" s="38"/>
      <c r="M775" s="38"/>
      <c r="N775" s="39"/>
      <c r="O775" s="38"/>
      <c r="P775" s="30"/>
      <c r="Q775" s="35"/>
      <c r="R775" s="31"/>
      <c r="S775" s="31"/>
      <c r="T775" s="31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F775" s="31"/>
      <c r="AG775" s="31"/>
      <c r="AH775" s="31"/>
      <c r="AI775" s="31"/>
      <c r="AJ775" s="31"/>
    </row>
    <row r="776" customFormat="false" ht="14.25" hidden="false" customHeight="true" outlineLevel="0" collapsed="false">
      <c r="A776" s="116"/>
      <c r="B776" s="19"/>
      <c r="C776" s="19"/>
      <c r="D776" s="36"/>
      <c r="E776" s="19"/>
      <c r="F776" s="37"/>
      <c r="G776" s="38"/>
      <c r="H776" s="38"/>
      <c r="I776" s="38"/>
      <c r="J776" s="38"/>
      <c r="K776" s="38"/>
      <c r="L776" s="38"/>
      <c r="M776" s="38"/>
      <c r="N776" s="39"/>
      <c r="O776" s="38"/>
      <c r="P776" s="30"/>
      <c r="Q776" s="35"/>
      <c r="R776" s="31"/>
      <c r="S776" s="31"/>
      <c r="T776" s="31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F776" s="31"/>
      <c r="AG776" s="31"/>
      <c r="AH776" s="31"/>
      <c r="AI776" s="31"/>
      <c r="AJ776" s="31"/>
    </row>
    <row r="777" customFormat="false" ht="14.25" hidden="false" customHeight="true" outlineLevel="0" collapsed="false">
      <c r="A777" s="116"/>
      <c r="B777" s="19"/>
      <c r="C777" s="19"/>
      <c r="D777" s="36"/>
      <c r="E777" s="19"/>
      <c r="F777" s="37"/>
      <c r="G777" s="38"/>
      <c r="H777" s="38"/>
      <c r="I777" s="38"/>
      <c r="J777" s="38"/>
      <c r="K777" s="38"/>
      <c r="L777" s="38"/>
      <c r="M777" s="38"/>
      <c r="N777" s="39"/>
      <c r="O777" s="38"/>
      <c r="P777" s="30"/>
      <c r="Q777" s="35"/>
      <c r="R777" s="31"/>
      <c r="S777" s="31"/>
      <c r="T777" s="31"/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F777" s="31"/>
      <c r="AG777" s="31"/>
      <c r="AH777" s="31"/>
      <c r="AI777" s="31"/>
      <c r="AJ777" s="31"/>
    </row>
    <row r="778" customFormat="false" ht="14.25" hidden="false" customHeight="true" outlineLevel="0" collapsed="false">
      <c r="A778" s="116"/>
      <c r="B778" s="19"/>
      <c r="C778" s="19"/>
      <c r="D778" s="36"/>
      <c r="E778" s="19"/>
      <c r="F778" s="37"/>
      <c r="G778" s="38"/>
      <c r="H778" s="38"/>
      <c r="I778" s="38"/>
      <c r="J778" s="38"/>
      <c r="K778" s="38"/>
      <c r="L778" s="38"/>
      <c r="M778" s="38"/>
      <c r="N778" s="39"/>
      <c r="O778" s="38"/>
      <c r="P778" s="30"/>
      <c r="Q778" s="35"/>
      <c r="R778" s="31"/>
      <c r="S778" s="31"/>
      <c r="T778" s="31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F778" s="31"/>
      <c r="AG778" s="31"/>
      <c r="AH778" s="31"/>
      <c r="AI778" s="31"/>
      <c r="AJ778" s="31"/>
    </row>
    <row r="779" customFormat="false" ht="14.25" hidden="false" customHeight="true" outlineLevel="0" collapsed="false">
      <c r="A779" s="116"/>
      <c r="B779" s="19"/>
      <c r="C779" s="19"/>
      <c r="D779" s="36"/>
      <c r="E779" s="19"/>
      <c r="F779" s="37"/>
      <c r="G779" s="38"/>
      <c r="H779" s="38"/>
      <c r="I779" s="38"/>
      <c r="J779" s="38"/>
      <c r="K779" s="38"/>
      <c r="L779" s="38"/>
      <c r="M779" s="38"/>
      <c r="N779" s="39"/>
      <c r="O779" s="38"/>
      <c r="P779" s="30"/>
      <c r="Q779" s="35"/>
      <c r="R779" s="31"/>
      <c r="S779" s="31"/>
      <c r="T779" s="31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F779" s="31"/>
      <c r="AG779" s="31"/>
      <c r="AH779" s="31"/>
      <c r="AI779" s="31"/>
      <c r="AJ779" s="31"/>
    </row>
    <row r="780" customFormat="false" ht="14.25" hidden="false" customHeight="true" outlineLevel="0" collapsed="false">
      <c r="A780" s="116"/>
      <c r="B780" s="19"/>
      <c r="C780" s="19"/>
      <c r="D780" s="36"/>
      <c r="E780" s="19"/>
      <c r="F780" s="37"/>
      <c r="G780" s="38"/>
      <c r="H780" s="38"/>
      <c r="I780" s="38"/>
      <c r="J780" s="38"/>
      <c r="K780" s="38"/>
      <c r="L780" s="38"/>
      <c r="M780" s="38"/>
      <c r="N780" s="39"/>
      <c r="O780" s="38"/>
      <c r="P780" s="30"/>
      <c r="Q780" s="35"/>
      <c r="R780" s="31"/>
      <c r="S780" s="31"/>
      <c r="T780" s="31"/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F780" s="31"/>
      <c r="AG780" s="31"/>
      <c r="AH780" s="31"/>
      <c r="AI780" s="31"/>
      <c r="AJ780" s="31"/>
    </row>
    <row r="781" customFormat="false" ht="14.25" hidden="false" customHeight="true" outlineLevel="0" collapsed="false">
      <c r="A781" s="116"/>
      <c r="B781" s="19"/>
      <c r="C781" s="19"/>
      <c r="D781" s="36"/>
      <c r="E781" s="19"/>
      <c r="F781" s="37"/>
      <c r="G781" s="38"/>
      <c r="H781" s="38"/>
      <c r="I781" s="38"/>
      <c r="J781" s="38"/>
      <c r="K781" s="38"/>
      <c r="L781" s="38"/>
      <c r="M781" s="38"/>
      <c r="N781" s="39"/>
      <c r="O781" s="38"/>
      <c r="P781" s="30"/>
      <c r="Q781" s="35"/>
      <c r="R781" s="31"/>
      <c r="S781" s="31"/>
      <c r="T781" s="31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F781" s="31"/>
      <c r="AG781" s="31"/>
      <c r="AH781" s="31"/>
      <c r="AI781" s="31"/>
      <c r="AJ781" s="31"/>
    </row>
    <row r="782" customFormat="false" ht="14.25" hidden="false" customHeight="true" outlineLevel="0" collapsed="false">
      <c r="A782" s="116"/>
      <c r="B782" s="19"/>
      <c r="C782" s="19"/>
      <c r="D782" s="36"/>
      <c r="E782" s="19"/>
      <c r="F782" s="37"/>
      <c r="G782" s="38"/>
      <c r="H782" s="38"/>
      <c r="I782" s="38"/>
      <c r="J782" s="38"/>
      <c r="K782" s="38"/>
      <c r="L782" s="38"/>
      <c r="M782" s="38"/>
      <c r="N782" s="39"/>
      <c r="O782" s="38"/>
      <c r="P782" s="30"/>
      <c r="Q782" s="35"/>
      <c r="R782" s="31"/>
      <c r="S782" s="31"/>
      <c r="T782" s="31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F782" s="31"/>
      <c r="AG782" s="31"/>
      <c r="AH782" s="31"/>
      <c r="AI782" s="31"/>
      <c r="AJ782" s="31"/>
    </row>
    <row r="783" customFormat="false" ht="14.25" hidden="false" customHeight="true" outlineLevel="0" collapsed="false">
      <c r="A783" s="116"/>
      <c r="B783" s="19"/>
      <c r="C783" s="19"/>
      <c r="D783" s="36"/>
      <c r="E783" s="19"/>
      <c r="F783" s="37"/>
      <c r="G783" s="38"/>
      <c r="H783" s="38"/>
      <c r="I783" s="38"/>
      <c r="J783" s="38"/>
      <c r="K783" s="38"/>
      <c r="L783" s="38"/>
      <c r="M783" s="38"/>
      <c r="N783" s="39"/>
      <c r="O783" s="38"/>
      <c r="P783" s="30"/>
      <c r="Q783" s="35"/>
      <c r="R783" s="31"/>
      <c r="S783" s="31"/>
      <c r="T783" s="31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F783" s="31"/>
      <c r="AG783" s="31"/>
      <c r="AH783" s="31"/>
      <c r="AI783" s="31"/>
      <c r="AJ783" s="31"/>
    </row>
    <row r="784" customFormat="false" ht="14.25" hidden="false" customHeight="true" outlineLevel="0" collapsed="false">
      <c r="A784" s="116"/>
      <c r="B784" s="19"/>
      <c r="C784" s="19"/>
      <c r="D784" s="36"/>
      <c r="E784" s="19"/>
      <c r="F784" s="37"/>
      <c r="G784" s="38"/>
      <c r="H784" s="38"/>
      <c r="I784" s="38"/>
      <c r="J784" s="38"/>
      <c r="K784" s="38"/>
      <c r="L784" s="38"/>
      <c r="M784" s="38"/>
      <c r="N784" s="39"/>
      <c r="O784" s="38"/>
      <c r="P784" s="30"/>
      <c r="Q784" s="35"/>
      <c r="R784" s="31"/>
      <c r="S784" s="31"/>
      <c r="T784" s="31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F784" s="31"/>
      <c r="AG784" s="31"/>
      <c r="AH784" s="31"/>
      <c r="AI784" s="31"/>
      <c r="AJ784" s="31"/>
    </row>
    <row r="785" customFormat="false" ht="14.25" hidden="false" customHeight="true" outlineLevel="0" collapsed="false">
      <c r="A785" s="116"/>
      <c r="B785" s="19"/>
      <c r="C785" s="19"/>
      <c r="D785" s="36"/>
      <c r="E785" s="19"/>
      <c r="F785" s="37"/>
      <c r="G785" s="38"/>
      <c r="H785" s="38"/>
      <c r="I785" s="38"/>
      <c r="J785" s="38"/>
      <c r="K785" s="38"/>
      <c r="L785" s="38"/>
      <c r="M785" s="38"/>
      <c r="N785" s="39"/>
      <c r="O785" s="38"/>
      <c r="P785" s="30"/>
      <c r="Q785" s="35"/>
      <c r="R785" s="31"/>
      <c r="S785" s="31"/>
      <c r="T785" s="31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F785" s="31"/>
      <c r="AG785" s="31"/>
      <c r="AH785" s="31"/>
      <c r="AI785" s="31"/>
      <c r="AJ785" s="31"/>
    </row>
    <row r="786" customFormat="false" ht="14.25" hidden="false" customHeight="true" outlineLevel="0" collapsed="false">
      <c r="A786" s="116"/>
      <c r="B786" s="19"/>
      <c r="C786" s="19"/>
      <c r="D786" s="36"/>
      <c r="E786" s="19"/>
      <c r="F786" s="37"/>
      <c r="G786" s="38"/>
      <c r="H786" s="38"/>
      <c r="I786" s="38"/>
      <c r="J786" s="38"/>
      <c r="K786" s="38"/>
      <c r="L786" s="38"/>
      <c r="M786" s="38"/>
      <c r="N786" s="39"/>
      <c r="O786" s="38"/>
      <c r="P786" s="30"/>
      <c r="Q786" s="35"/>
      <c r="R786" s="31"/>
      <c r="S786" s="31"/>
      <c r="T786" s="31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F786" s="31"/>
      <c r="AG786" s="31"/>
      <c r="AH786" s="31"/>
      <c r="AI786" s="31"/>
      <c r="AJ786" s="31"/>
    </row>
    <row r="787" customFormat="false" ht="14.25" hidden="false" customHeight="true" outlineLevel="0" collapsed="false">
      <c r="A787" s="116"/>
      <c r="B787" s="19"/>
      <c r="C787" s="19"/>
      <c r="D787" s="36"/>
      <c r="E787" s="19"/>
      <c r="F787" s="37"/>
      <c r="G787" s="38"/>
      <c r="H787" s="38"/>
      <c r="I787" s="38"/>
      <c r="J787" s="38"/>
      <c r="K787" s="38"/>
      <c r="L787" s="38"/>
      <c r="M787" s="38"/>
      <c r="N787" s="39"/>
      <c r="O787" s="38"/>
      <c r="P787" s="30"/>
      <c r="Q787" s="35"/>
      <c r="R787" s="31"/>
      <c r="S787" s="31"/>
      <c r="T787" s="31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F787" s="31"/>
      <c r="AG787" s="31"/>
      <c r="AH787" s="31"/>
      <c r="AI787" s="31"/>
      <c r="AJ787" s="31"/>
    </row>
    <row r="788" customFormat="false" ht="14.25" hidden="false" customHeight="true" outlineLevel="0" collapsed="false">
      <c r="A788" s="116"/>
      <c r="B788" s="19"/>
      <c r="C788" s="19"/>
      <c r="D788" s="36"/>
      <c r="E788" s="19"/>
      <c r="F788" s="37"/>
      <c r="G788" s="38"/>
      <c r="H788" s="38"/>
      <c r="I788" s="38"/>
      <c r="J788" s="38"/>
      <c r="K788" s="38"/>
      <c r="L788" s="38"/>
      <c r="M788" s="38"/>
      <c r="N788" s="39"/>
      <c r="O788" s="38"/>
      <c r="P788" s="30"/>
      <c r="Q788" s="35"/>
      <c r="R788" s="31"/>
      <c r="S788" s="31"/>
      <c r="T788" s="31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F788" s="31"/>
      <c r="AG788" s="31"/>
      <c r="AH788" s="31"/>
      <c r="AI788" s="31"/>
      <c r="AJ788" s="31"/>
    </row>
    <row r="789" customFormat="false" ht="14.25" hidden="false" customHeight="true" outlineLevel="0" collapsed="false">
      <c r="A789" s="116"/>
      <c r="B789" s="19"/>
      <c r="C789" s="19"/>
      <c r="D789" s="36"/>
      <c r="E789" s="19"/>
      <c r="F789" s="37"/>
      <c r="G789" s="38"/>
      <c r="H789" s="38"/>
      <c r="I789" s="38"/>
      <c r="J789" s="38"/>
      <c r="K789" s="38"/>
      <c r="L789" s="38"/>
      <c r="M789" s="38"/>
      <c r="N789" s="39"/>
      <c r="O789" s="38"/>
      <c r="P789" s="30"/>
      <c r="Q789" s="35"/>
      <c r="R789" s="31"/>
      <c r="S789" s="31"/>
      <c r="T789" s="31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F789" s="31"/>
      <c r="AG789" s="31"/>
      <c r="AH789" s="31"/>
      <c r="AI789" s="31"/>
      <c r="AJ789" s="31"/>
    </row>
    <row r="790" customFormat="false" ht="14.25" hidden="false" customHeight="true" outlineLevel="0" collapsed="false">
      <c r="A790" s="116"/>
      <c r="B790" s="19"/>
      <c r="C790" s="19"/>
      <c r="D790" s="36"/>
      <c r="E790" s="19"/>
      <c r="F790" s="37"/>
      <c r="G790" s="38"/>
      <c r="H790" s="38"/>
      <c r="I790" s="38"/>
      <c r="J790" s="38"/>
      <c r="K790" s="38"/>
      <c r="L790" s="38"/>
      <c r="M790" s="38"/>
      <c r="N790" s="39"/>
      <c r="O790" s="38"/>
      <c r="P790" s="30"/>
      <c r="Q790" s="35"/>
      <c r="R790" s="31"/>
      <c r="S790" s="31"/>
      <c r="T790" s="31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F790" s="31"/>
      <c r="AG790" s="31"/>
      <c r="AH790" s="31"/>
      <c r="AI790" s="31"/>
      <c r="AJ790" s="31"/>
    </row>
    <row r="791" customFormat="false" ht="14.25" hidden="false" customHeight="true" outlineLevel="0" collapsed="false">
      <c r="A791" s="116"/>
      <c r="B791" s="19"/>
      <c r="C791" s="19"/>
      <c r="D791" s="36"/>
      <c r="E791" s="19"/>
      <c r="F791" s="37"/>
      <c r="G791" s="38"/>
      <c r="H791" s="38"/>
      <c r="I791" s="38"/>
      <c r="J791" s="38"/>
      <c r="K791" s="38"/>
      <c r="L791" s="38"/>
      <c r="M791" s="38"/>
      <c r="N791" s="39"/>
      <c r="O791" s="38"/>
      <c r="P791" s="30"/>
      <c r="Q791" s="35"/>
      <c r="R791" s="31"/>
      <c r="S791" s="31"/>
      <c r="T791" s="31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F791" s="31"/>
      <c r="AG791" s="31"/>
      <c r="AH791" s="31"/>
      <c r="AI791" s="31"/>
      <c r="AJ791" s="31"/>
    </row>
    <row r="792" customFormat="false" ht="14.25" hidden="false" customHeight="true" outlineLevel="0" collapsed="false">
      <c r="A792" s="116"/>
      <c r="B792" s="19"/>
      <c r="C792" s="19"/>
      <c r="D792" s="36"/>
      <c r="E792" s="19"/>
      <c r="F792" s="37"/>
      <c r="G792" s="38"/>
      <c r="H792" s="38"/>
      <c r="I792" s="38"/>
      <c r="J792" s="38"/>
      <c r="K792" s="38"/>
      <c r="L792" s="38"/>
      <c r="M792" s="38"/>
      <c r="N792" s="39"/>
      <c r="O792" s="38"/>
      <c r="P792" s="30"/>
      <c r="Q792" s="35"/>
      <c r="R792" s="31"/>
      <c r="S792" s="31"/>
      <c r="T792" s="31"/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F792" s="31"/>
      <c r="AG792" s="31"/>
      <c r="AH792" s="31"/>
      <c r="AI792" s="31"/>
      <c r="AJ792" s="31"/>
    </row>
    <row r="793" customFormat="false" ht="14.25" hidden="false" customHeight="true" outlineLevel="0" collapsed="false">
      <c r="A793" s="116"/>
      <c r="B793" s="19"/>
      <c r="C793" s="19"/>
      <c r="D793" s="36"/>
      <c r="E793" s="19"/>
      <c r="F793" s="37"/>
      <c r="G793" s="38"/>
      <c r="H793" s="38"/>
      <c r="I793" s="38"/>
      <c r="J793" s="38"/>
      <c r="K793" s="38"/>
      <c r="L793" s="38"/>
      <c r="M793" s="38"/>
      <c r="N793" s="39"/>
      <c r="O793" s="38"/>
      <c r="P793" s="30"/>
      <c r="Q793" s="35"/>
      <c r="R793" s="31"/>
      <c r="S793" s="31"/>
      <c r="T793" s="31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F793" s="31"/>
      <c r="AG793" s="31"/>
      <c r="AH793" s="31"/>
      <c r="AI793" s="31"/>
      <c r="AJ793" s="31"/>
    </row>
    <row r="794" customFormat="false" ht="14.25" hidden="false" customHeight="true" outlineLevel="0" collapsed="false">
      <c r="A794" s="116"/>
      <c r="B794" s="19"/>
      <c r="C794" s="19"/>
      <c r="D794" s="36"/>
      <c r="E794" s="19"/>
      <c r="F794" s="37"/>
      <c r="G794" s="38"/>
      <c r="H794" s="38"/>
      <c r="I794" s="38"/>
      <c r="J794" s="38"/>
      <c r="K794" s="38"/>
      <c r="L794" s="38"/>
      <c r="M794" s="38"/>
      <c r="N794" s="39"/>
      <c r="O794" s="38"/>
      <c r="P794" s="30"/>
      <c r="Q794" s="35"/>
      <c r="R794" s="31"/>
      <c r="S794" s="31"/>
      <c r="T794" s="31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F794" s="31"/>
      <c r="AG794" s="31"/>
      <c r="AH794" s="31"/>
      <c r="AI794" s="31"/>
      <c r="AJ794" s="31"/>
    </row>
    <row r="795" customFormat="false" ht="14.25" hidden="false" customHeight="true" outlineLevel="0" collapsed="false">
      <c r="A795" s="116"/>
      <c r="B795" s="19"/>
      <c r="C795" s="19"/>
      <c r="D795" s="36"/>
      <c r="E795" s="19"/>
      <c r="F795" s="37"/>
      <c r="G795" s="38"/>
      <c r="H795" s="38"/>
      <c r="I795" s="38"/>
      <c r="J795" s="38"/>
      <c r="K795" s="38"/>
      <c r="L795" s="38"/>
      <c r="M795" s="38"/>
      <c r="N795" s="39"/>
      <c r="O795" s="38"/>
      <c r="P795" s="30"/>
      <c r="Q795" s="35"/>
      <c r="R795" s="31"/>
      <c r="S795" s="31"/>
      <c r="T795" s="31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F795" s="31"/>
      <c r="AG795" s="31"/>
      <c r="AH795" s="31"/>
      <c r="AI795" s="31"/>
      <c r="AJ795" s="31"/>
    </row>
    <row r="796" customFormat="false" ht="14.25" hidden="false" customHeight="true" outlineLevel="0" collapsed="false">
      <c r="A796" s="116"/>
      <c r="B796" s="19"/>
      <c r="C796" s="19"/>
      <c r="D796" s="36"/>
      <c r="E796" s="19"/>
      <c r="F796" s="37"/>
      <c r="G796" s="38"/>
      <c r="H796" s="38"/>
      <c r="I796" s="38"/>
      <c r="J796" s="38"/>
      <c r="K796" s="38"/>
      <c r="L796" s="38"/>
      <c r="M796" s="38"/>
      <c r="N796" s="39"/>
      <c r="O796" s="38"/>
      <c r="P796" s="30"/>
      <c r="Q796" s="35"/>
      <c r="R796" s="31"/>
      <c r="S796" s="31"/>
      <c r="T796" s="31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F796" s="31"/>
      <c r="AG796" s="31"/>
      <c r="AH796" s="31"/>
      <c r="AI796" s="31"/>
      <c r="AJ796" s="31"/>
    </row>
    <row r="797" customFormat="false" ht="14.25" hidden="false" customHeight="true" outlineLevel="0" collapsed="false">
      <c r="A797" s="116"/>
      <c r="B797" s="19"/>
      <c r="C797" s="19"/>
      <c r="D797" s="36"/>
      <c r="E797" s="19"/>
      <c r="F797" s="37"/>
      <c r="G797" s="38"/>
      <c r="H797" s="38"/>
      <c r="I797" s="38"/>
      <c r="J797" s="38"/>
      <c r="K797" s="38"/>
      <c r="L797" s="38"/>
      <c r="M797" s="38"/>
      <c r="N797" s="39"/>
      <c r="O797" s="38"/>
      <c r="P797" s="30"/>
      <c r="Q797" s="35"/>
      <c r="R797" s="31"/>
      <c r="S797" s="31"/>
      <c r="T797" s="31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F797" s="31"/>
      <c r="AG797" s="31"/>
      <c r="AH797" s="31"/>
      <c r="AI797" s="31"/>
      <c r="AJ797" s="31"/>
    </row>
    <row r="798" customFormat="false" ht="14.25" hidden="false" customHeight="true" outlineLevel="0" collapsed="false">
      <c r="A798" s="116"/>
      <c r="B798" s="19"/>
      <c r="C798" s="19"/>
      <c r="D798" s="36"/>
      <c r="E798" s="19"/>
      <c r="F798" s="37"/>
      <c r="G798" s="38"/>
      <c r="H798" s="38"/>
      <c r="I798" s="38"/>
      <c r="J798" s="38"/>
      <c r="K798" s="38"/>
      <c r="L798" s="38"/>
      <c r="M798" s="38"/>
      <c r="N798" s="39"/>
      <c r="O798" s="38"/>
      <c r="P798" s="30"/>
      <c r="Q798" s="35"/>
      <c r="R798" s="31"/>
      <c r="S798" s="31"/>
      <c r="T798" s="31"/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F798" s="31"/>
      <c r="AG798" s="31"/>
      <c r="AH798" s="31"/>
      <c r="AI798" s="31"/>
      <c r="AJ798" s="31"/>
    </row>
    <row r="799" customFormat="false" ht="14.25" hidden="false" customHeight="true" outlineLevel="0" collapsed="false">
      <c r="A799" s="116"/>
      <c r="B799" s="19"/>
      <c r="C799" s="19"/>
      <c r="D799" s="36"/>
      <c r="E799" s="19"/>
      <c r="F799" s="37"/>
      <c r="G799" s="38"/>
      <c r="H799" s="38"/>
      <c r="I799" s="38"/>
      <c r="J799" s="38"/>
      <c r="K799" s="38"/>
      <c r="L799" s="38"/>
      <c r="M799" s="38"/>
      <c r="N799" s="39"/>
      <c r="O799" s="38"/>
      <c r="P799" s="30"/>
      <c r="Q799" s="35"/>
      <c r="R799" s="31"/>
      <c r="S799" s="31"/>
      <c r="T799" s="31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F799" s="31"/>
      <c r="AG799" s="31"/>
      <c r="AH799" s="31"/>
      <c r="AI799" s="31"/>
      <c r="AJ799" s="31"/>
    </row>
    <row r="800" customFormat="false" ht="14.25" hidden="false" customHeight="true" outlineLevel="0" collapsed="false">
      <c r="A800" s="116"/>
      <c r="B800" s="19"/>
      <c r="C800" s="19"/>
      <c r="D800" s="36"/>
      <c r="E800" s="19"/>
      <c r="F800" s="37"/>
      <c r="G800" s="38"/>
      <c r="H800" s="38"/>
      <c r="I800" s="38"/>
      <c r="J800" s="38"/>
      <c r="K800" s="38"/>
      <c r="L800" s="38"/>
      <c r="M800" s="38"/>
      <c r="N800" s="39"/>
      <c r="O800" s="38"/>
      <c r="P800" s="30"/>
      <c r="Q800" s="35"/>
      <c r="R800" s="31"/>
      <c r="S800" s="31"/>
      <c r="T800" s="31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F800" s="31"/>
      <c r="AG800" s="31"/>
      <c r="AH800" s="31"/>
      <c r="AI800" s="31"/>
      <c r="AJ800" s="31"/>
    </row>
    <row r="801" customFormat="false" ht="14.25" hidden="false" customHeight="true" outlineLevel="0" collapsed="false">
      <c r="A801" s="116"/>
      <c r="B801" s="19"/>
      <c r="C801" s="19"/>
      <c r="D801" s="36"/>
      <c r="E801" s="19"/>
      <c r="F801" s="37"/>
      <c r="G801" s="38"/>
      <c r="H801" s="38"/>
      <c r="I801" s="38"/>
      <c r="J801" s="38"/>
      <c r="K801" s="38"/>
      <c r="L801" s="38"/>
      <c r="M801" s="38"/>
      <c r="N801" s="39"/>
      <c r="O801" s="38"/>
      <c r="P801" s="30"/>
      <c r="Q801" s="35"/>
      <c r="R801" s="31"/>
      <c r="S801" s="31"/>
      <c r="T801" s="31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F801" s="31"/>
      <c r="AG801" s="31"/>
      <c r="AH801" s="31"/>
      <c r="AI801" s="31"/>
      <c r="AJ801" s="31"/>
    </row>
    <row r="802" customFormat="false" ht="14.25" hidden="false" customHeight="true" outlineLevel="0" collapsed="false">
      <c r="A802" s="116"/>
      <c r="B802" s="19"/>
      <c r="C802" s="19"/>
      <c r="D802" s="36"/>
      <c r="E802" s="19"/>
      <c r="F802" s="37"/>
      <c r="G802" s="38"/>
      <c r="H802" s="38"/>
      <c r="I802" s="38"/>
      <c r="J802" s="38"/>
      <c r="K802" s="38"/>
      <c r="L802" s="38"/>
      <c r="M802" s="38"/>
      <c r="N802" s="39"/>
      <c r="O802" s="38"/>
      <c r="P802" s="30"/>
      <c r="Q802" s="35"/>
      <c r="R802" s="31"/>
      <c r="S802" s="31"/>
      <c r="T802" s="31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F802" s="31"/>
      <c r="AG802" s="31"/>
      <c r="AH802" s="31"/>
      <c r="AI802" s="31"/>
      <c r="AJ802" s="31"/>
    </row>
    <row r="803" customFormat="false" ht="14.25" hidden="false" customHeight="true" outlineLevel="0" collapsed="false">
      <c r="A803" s="116"/>
      <c r="B803" s="19"/>
      <c r="C803" s="19"/>
      <c r="D803" s="36"/>
      <c r="E803" s="19"/>
      <c r="F803" s="37"/>
      <c r="G803" s="38"/>
      <c r="H803" s="38"/>
      <c r="I803" s="38"/>
      <c r="J803" s="38"/>
      <c r="K803" s="38"/>
      <c r="L803" s="38"/>
      <c r="M803" s="38"/>
      <c r="N803" s="39"/>
      <c r="O803" s="38"/>
      <c r="P803" s="30"/>
      <c r="Q803" s="35"/>
      <c r="R803" s="31"/>
      <c r="S803" s="31"/>
      <c r="T803" s="31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F803" s="31"/>
      <c r="AG803" s="31"/>
      <c r="AH803" s="31"/>
      <c r="AI803" s="31"/>
      <c r="AJ803" s="31"/>
    </row>
    <row r="804" customFormat="false" ht="14.25" hidden="false" customHeight="true" outlineLevel="0" collapsed="false">
      <c r="A804" s="116"/>
      <c r="B804" s="19"/>
      <c r="C804" s="19"/>
      <c r="D804" s="36"/>
      <c r="E804" s="19"/>
      <c r="F804" s="37"/>
      <c r="G804" s="38"/>
      <c r="H804" s="38"/>
      <c r="I804" s="38"/>
      <c r="J804" s="38"/>
      <c r="K804" s="38"/>
      <c r="L804" s="38"/>
      <c r="M804" s="38"/>
      <c r="N804" s="39"/>
      <c r="O804" s="38"/>
      <c r="P804" s="30"/>
      <c r="Q804" s="35"/>
      <c r="R804" s="31"/>
      <c r="S804" s="31"/>
      <c r="T804" s="31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F804" s="31"/>
      <c r="AG804" s="31"/>
      <c r="AH804" s="31"/>
      <c r="AI804" s="31"/>
      <c r="AJ804" s="31"/>
    </row>
    <row r="805" customFormat="false" ht="14.25" hidden="false" customHeight="true" outlineLevel="0" collapsed="false">
      <c r="A805" s="116"/>
      <c r="B805" s="19"/>
      <c r="C805" s="19"/>
      <c r="D805" s="36"/>
      <c r="E805" s="19"/>
      <c r="F805" s="37"/>
      <c r="G805" s="38"/>
      <c r="H805" s="38"/>
      <c r="I805" s="38"/>
      <c r="J805" s="38"/>
      <c r="K805" s="38"/>
      <c r="L805" s="38"/>
      <c r="M805" s="38"/>
      <c r="N805" s="39"/>
      <c r="O805" s="38"/>
      <c r="P805" s="30"/>
      <c r="Q805" s="35"/>
      <c r="R805" s="31"/>
      <c r="S805" s="31"/>
      <c r="T805" s="31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F805" s="31"/>
      <c r="AG805" s="31"/>
      <c r="AH805" s="31"/>
      <c r="AI805" s="31"/>
      <c r="AJ805" s="31"/>
    </row>
    <row r="806" customFormat="false" ht="14.25" hidden="false" customHeight="true" outlineLevel="0" collapsed="false">
      <c r="A806" s="116"/>
      <c r="B806" s="19"/>
      <c r="C806" s="19"/>
      <c r="D806" s="36"/>
      <c r="E806" s="19"/>
      <c r="F806" s="37"/>
      <c r="G806" s="38"/>
      <c r="H806" s="38"/>
      <c r="I806" s="38"/>
      <c r="J806" s="38"/>
      <c r="K806" s="38"/>
      <c r="L806" s="38"/>
      <c r="M806" s="38"/>
      <c r="N806" s="39"/>
      <c r="O806" s="38"/>
      <c r="P806" s="30"/>
      <c r="Q806" s="35"/>
      <c r="R806" s="31"/>
      <c r="S806" s="31"/>
      <c r="T806" s="31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F806" s="31"/>
      <c r="AG806" s="31"/>
      <c r="AH806" s="31"/>
      <c r="AI806" s="31"/>
      <c r="AJ806" s="31"/>
    </row>
    <row r="807" customFormat="false" ht="14.25" hidden="false" customHeight="true" outlineLevel="0" collapsed="false">
      <c r="A807" s="116"/>
      <c r="B807" s="19"/>
      <c r="C807" s="19"/>
      <c r="D807" s="36"/>
      <c r="E807" s="19"/>
      <c r="F807" s="37"/>
      <c r="G807" s="38"/>
      <c r="H807" s="38"/>
      <c r="I807" s="38"/>
      <c r="J807" s="38"/>
      <c r="K807" s="38"/>
      <c r="L807" s="38"/>
      <c r="M807" s="38"/>
      <c r="N807" s="39"/>
      <c r="O807" s="38"/>
      <c r="P807" s="30"/>
      <c r="Q807" s="35"/>
      <c r="R807" s="31"/>
      <c r="S807" s="31"/>
      <c r="T807" s="31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F807" s="31"/>
      <c r="AG807" s="31"/>
      <c r="AH807" s="31"/>
      <c r="AI807" s="31"/>
      <c r="AJ807" s="31"/>
    </row>
    <row r="808" customFormat="false" ht="14.25" hidden="false" customHeight="true" outlineLevel="0" collapsed="false">
      <c r="A808" s="116"/>
      <c r="B808" s="19"/>
      <c r="C808" s="19"/>
      <c r="D808" s="36"/>
      <c r="E808" s="19"/>
      <c r="F808" s="37"/>
      <c r="G808" s="38"/>
      <c r="H808" s="38"/>
      <c r="I808" s="38"/>
      <c r="J808" s="38"/>
      <c r="K808" s="38"/>
      <c r="L808" s="38"/>
      <c r="M808" s="38"/>
      <c r="N808" s="39"/>
      <c r="O808" s="38"/>
      <c r="P808" s="30"/>
      <c r="Q808" s="35"/>
      <c r="R808" s="31"/>
      <c r="S808" s="31"/>
      <c r="T808" s="31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F808" s="31"/>
      <c r="AG808" s="31"/>
      <c r="AH808" s="31"/>
      <c r="AI808" s="31"/>
      <c r="AJ808" s="31"/>
    </row>
    <row r="809" customFormat="false" ht="14.25" hidden="false" customHeight="true" outlineLevel="0" collapsed="false">
      <c r="A809" s="116"/>
      <c r="B809" s="19"/>
      <c r="C809" s="19"/>
      <c r="D809" s="36"/>
      <c r="E809" s="19"/>
      <c r="F809" s="37"/>
      <c r="G809" s="38"/>
      <c r="H809" s="38"/>
      <c r="I809" s="38"/>
      <c r="J809" s="38"/>
      <c r="K809" s="38"/>
      <c r="L809" s="38"/>
      <c r="M809" s="38"/>
      <c r="N809" s="39"/>
      <c r="O809" s="38"/>
      <c r="P809" s="30"/>
      <c r="Q809" s="35"/>
      <c r="R809" s="31"/>
      <c r="S809" s="31"/>
      <c r="T809" s="31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F809" s="31"/>
      <c r="AG809" s="31"/>
      <c r="AH809" s="31"/>
      <c r="AI809" s="31"/>
      <c r="AJ809" s="31"/>
    </row>
    <row r="810" customFormat="false" ht="14.25" hidden="false" customHeight="true" outlineLevel="0" collapsed="false">
      <c r="A810" s="116"/>
      <c r="B810" s="19"/>
      <c r="C810" s="19"/>
      <c r="D810" s="36"/>
      <c r="E810" s="19"/>
      <c r="F810" s="37"/>
      <c r="G810" s="38"/>
      <c r="H810" s="38"/>
      <c r="I810" s="38"/>
      <c r="J810" s="38"/>
      <c r="K810" s="38"/>
      <c r="L810" s="38"/>
      <c r="M810" s="38"/>
      <c r="N810" s="39"/>
      <c r="O810" s="38"/>
      <c r="P810" s="30"/>
      <c r="Q810" s="35"/>
      <c r="R810" s="31"/>
      <c r="S810" s="31"/>
      <c r="T810" s="31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F810" s="31"/>
      <c r="AG810" s="31"/>
      <c r="AH810" s="31"/>
      <c r="AI810" s="31"/>
      <c r="AJ810" s="31"/>
    </row>
    <row r="811" customFormat="false" ht="14.25" hidden="false" customHeight="true" outlineLevel="0" collapsed="false">
      <c r="A811" s="116"/>
      <c r="B811" s="19"/>
      <c r="C811" s="19"/>
      <c r="D811" s="36"/>
      <c r="E811" s="19"/>
      <c r="F811" s="37"/>
      <c r="G811" s="38"/>
      <c r="H811" s="38"/>
      <c r="I811" s="38"/>
      <c r="J811" s="38"/>
      <c r="K811" s="38"/>
      <c r="L811" s="38"/>
      <c r="M811" s="38"/>
      <c r="N811" s="39"/>
      <c r="O811" s="38"/>
      <c r="P811" s="30"/>
      <c r="Q811" s="35"/>
      <c r="R811" s="31"/>
      <c r="S811" s="31"/>
      <c r="T811" s="31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F811" s="31"/>
      <c r="AG811" s="31"/>
      <c r="AH811" s="31"/>
      <c r="AI811" s="31"/>
      <c r="AJ811" s="31"/>
    </row>
    <row r="812" customFormat="false" ht="14.25" hidden="false" customHeight="true" outlineLevel="0" collapsed="false">
      <c r="A812" s="116"/>
      <c r="B812" s="19"/>
      <c r="C812" s="19"/>
      <c r="D812" s="36"/>
      <c r="E812" s="19"/>
      <c r="F812" s="37"/>
      <c r="G812" s="38"/>
      <c r="H812" s="38"/>
      <c r="I812" s="38"/>
      <c r="J812" s="38"/>
      <c r="K812" s="38"/>
      <c r="L812" s="38"/>
      <c r="M812" s="38"/>
      <c r="N812" s="39"/>
      <c r="O812" s="38"/>
      <c r="P812" s="30"/>
      <c r="Q812" s="35"/>
      <c r="R812" s="31"/>
      <c r="S812" s="31"/>
      <c r="T812" s="31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F812" s="31"/>
      <c r="AG812" s="31"/>
      <c r="AH812" s="31"/>
      <c r="AI812" s="31"/>
      <c r="AJ812" s="31"/>
    </row>
    <row r="813" customFormat="false" ht="14.25" hidden="false" customHeight="true" outlineLevel="0" collapsed="false">
      <c r="A813" s="116"/>
      <c r="B813" s="19"/>
      <c r="C813" s="19"/>
      <c r="D813" s="36"/>
      <c r="E813" s="19"/>
      <c r="F813" s="37"/>
      <c r="G813" s="38"/>
      <c r="H813" s="38"/>
      <c r="I813" s="38"/>
      <c r="J813" s="38"/>
      <c r="K813" s="38"/>
      <c r="L813" s="38"/>
      <c r="M813" s="38"/>
      <c r="N813" s="39"/>
      <c r="O813" s="38"/>
      <c r="P813" s="30"/>
      <c r="Q813" s="35"/>
      <c r="R813" s="31"/>
      <c r="S813" s="31"/>
      <c r="T813" s="31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F813" s="31"/>
      <c r="AG813" s="31"/>
      <c r="AH813" s="31"/>
      <c r="AI813" s="31"/>
      <c r="AJ813" s="31"/>
    </row>
    <row r="814" customFormat="false" ht="14.25" hidden="false" customHeight="true" outlineLevel="0" collapsed="false">
      <c r="A814" s="116"/>
      <c r="B814" s="19"/>
      <c r="C814" s="19"/>
      <c r="D814" s="36"/>
      <c r="E814" s="19"/>
      <c r="F814" s="37"/>
      <c r="G814" s="38"/>
      <c r="H814" s="38"/>
      <c r="I814" s="38"/>
      <c r="J814" s="38"/>
      <c r="K814" s="38"/>
      <c r="L814" s="38"/>
      <c r="M814" s="38"/>
      <c r="N814" s="39"/>
      <c r="O814" s="38"/>
      <c r="P814" s="30"/>
      <c r="Q814" s="35"/>
      <c r="R814" s="31"/>
      <c r="S814" s="31"/>
      <c r="T814" s="31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F814" s="31"/>
      <c r="AG814" s="31"/>
      <c r="AH814" s="31"/>
      <c r="AI814" s="31"/>
      <c r="AJ814" s="31"/>
    </row>
    <row r="815" customFormat="false" ht="14.25" hidden="false" customHeight="true" outlineLevel="0" collapsed="false">
      <c r="A815" s="116"/>
      <c r="B815" s="19"/>
      <c r="C815" s="19"/>
      <c r="D815" s="36"/>
      <c r="E815" s="19"/>
      <c r="F815" s="37"/>
      <c r="G815" s="38"/>
      <c r="H815" s="38"/>
      <c r="I815" s="38"/>
      <c r="J815" s="38"/>
      <c r="K815" s="38"/>
      <c r="L815" s="38"/>
      <c r="M815" s="38"/>
      <c r="N815" s="39"/>
      <c r="O815" s="38"/>
      <c r="P815" s="30"/>
      <c r="Q815" s="35"/>
      <c r="R815" s="31"/>
      <c r="S815" s="31"/>
      <c r="T815" s="31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F815" s="31"/>
      <c r="AG815" s="31"/>
      <c r="AH815" s="31"/>
      <c r="AI815" s="31"/>
      <c r="AJ815" s="31"/>
    </row>
    <row r="816" customFormat="false" ht="14.25" hidden="false" customHeight="true" outlineLevel="0" collapsed="false">
      <c r="A816" s="116"/>
      <c r="B816" s="19"/>
      <c r="C816" s="19"/>
      <c r="D816" s="36"/>
      <c r="E816" s="19"/>
      <c r="F816" s="37"/>
      <c r="G816" s="38"/>
      <c r="H816" s="38"/>
      <c r="I816" s="38"/>
      <c r="J816" s="38"/>
      <c r="K816" s="38"/>
      <c r="L816" s="38"/>
      <c r="M816" s="38"/>
      <c r="N816" s="39"/>
      <c r="O816" s="38"/>
      <c r="P816" s="30"/>
      <c r="Q816" s="35"/>
      <c r="R816" s="31"/>
      <c r="S816" s="31"/>
      <c r="T816" s="31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F816" s="31"/>
      <c r="AG816" s="31"/>
      <c r="AH816" s="31"/>
      <c r="AI816" s="31"/>
      <c r="AJ816" s="31"/>
    </row>
    <row r="817" customFormat="false" ht="14.25" hidden="false" customHeight="true" outlineLevel="0" collapsed="false">
      <c r="A817" s="116"/>
      <c r="B817" s="19"/>
      <c r="C817" s="19"/>
      <c r="D817" s="36"/>
      <c r="E817" s="19"/>
      <c r="F817" s="37"/>
      <c r="G817" s="38"/>
      <c r="H817" s="38"/>
      <c r="I817" s="38"/>
      <c r="J817" s="38"/>
      <c r="K817" s="38"/>
      <c r="L817" s="38"/>
      <c r="M817" s="38"/>
      <c r="N817" s="39"/>
      <c r="O817" s="38"/>
      <c r="P817" s="30"/>
      <c r="Q817" s="35"/>
      <c r="R817" s="31"/>
      <c r="S817" s="31"/>
      <c r="T817" s="31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F817" s="31"/>
      <c r="AG817" s="31"/>
      <c r="AH817" s="31"/>
      <c r="AI817" s="31"/>
      <c r="AJ817" s="31"/>
    </row>
    <row r="818" customFormat="false" ht="14.25" hidden="false" customHeight="true" outlineLevel="0" collapsed="false">
      <c r="A818" s="116"/>
      <c r="B818" s="19"/>
      <c r="C818" s="19"/>
      <c r="D818" s="36"/>
      <c r="E818" s="19"/>
      <c r="F818" s="37"/>
      <c r="G818" s="38"/>
      <c r="H818" s="38"/>
      <c r="I818" s="38"/>
      <c r="J818" s="38"/>
      <c r="K818" s="38"/>
      <c r="L818" s="38"/>
      <c r="M818" s="38"/>
      <c r="N818" s="39"/>
      <c r="O818" s="38"/>
      <c r="P818" s="30"/>
      <c r="Q818" s="35"/>
      <c r="R818" s="31"/>
      <c r="S818" s="31"/>
      <c r="T818" s="31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F818" s="31"/>
      <c r="AG818" s="31"/>
      <c r="AH818" s="31"/>
      <c r="AI818" s="31"/>
      <c r="AJ818" s="31"/>
    </row>
    <row r="819" customFormat="false" ht="14.25" hidden="false" customHeight="true" outlineLevel="0" collapsed="false">
      <c r="A819" s="116"/>
      <c r="B819" s="19"/>
      <c r="C819" s="19"/>
      <c r="D819" s="36"/>
      <c r="E819" s="19"/>
      <c r="F819" s="37"/>
      <c r="G819" s="38"/>
      <c r="H819" s="38"/>
      <c r="I819" s="38"/>
      <c r="J819" s="38"/>
      <c r="K819" s="38"/>
      <c r="L819" s="38"/>
      <c r="M819" s="38"/>
      <c r="N819" s="39"/>
      <c r="O819" s="38"/>
      <c r="P819" s="30"/>
      <c r="Q819" s="35"/>
      <c r="R819" s="31"/>
      <c r="S819" s="31"/>
      <c r="T819" s="31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F819" s="31"/>
      <c r="AG819" s="31"/>
      <c r="AH819" s="31"/>
      <c r="AI819" s="31"/>
      <c r="AJ819" s="31"/>
    </row>
    <row r="820" customFormat="false" ht="14.25" hidden="false" customHeight="true" outlineLevel="0" collapsed="false">
      <c r="A820" s="116"/>
      <c r="B820" s="19"/>
      <c r="C820" s="19"/>
      <c r="D820" s="36"/>
      <c r="E820" s="19"/>
      <c r="F820" s="37"/>
      <c r="G820" s="38"/>
      <c r="H820" s="38"/>
      <c r="I820" s="38"/>
      <c r="J820" s="38"/>
      <c r="K820" s="38"/>
      <c r="L820" s="38"/>
      <c r="M820" s="38"/>
      <c r="N820" s="39"/>
      <c r="O820" s="38"/>
      <c r="P820" s="30"/>
      <c r="Q820" s="35"/>
      <c r="R820" s="31"/>
      <c r="S820" s="31"/>
      <c r="T820" s="31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F820" s="31"/>
      <c r="AG820" s="31"/>
      <c r="AH820" s="31"/>
      <c r="AI820" s="31"/>
      <c r="AJ820" s="31"/>
    </row>
    <row r="821" customFormat="false" ht="14.25" hidden="false" customHeight="true" outlineLevel="0" collapsed="false">
      <c r="A821" s="116"/>
      <c r="B821" s="19"/>
      <c r="C821" s="19"/>
      <c r="D821" s="36"/>
      <c r="E821" s="19"/>
      <c r="F821" s="37"/>
      <c r="G821" s="38"/>
      <c r="H821" s="38"/>
      <c r="I821" s="38"/>
      <c r="J821" s="38"/>
      <c r="K821" s="38"/>
      <c r="L821" s="38"/>
      <c r="M821" s="38"/>
      <c r="N821" s="39"/>
      <c r="O821" s="38"/>
      <c r="P821" s="30"/>
      <c r="Q821" s="35"/>
      <c r="R821" s="31"/>
      <c r="S821" s="31"/>
      <c r="T821" s="31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F821" s="31"/>
      <c r="AG821" s="31"/>
      <c r="AH821" s="31"/>
      <c r="AI821" s="31"/>
      <c r="AJ821" s="31"/>
    </row>
    <row r="822" customFormat="false" ht="14.25" hidden="false" customHeight="true" outlineLevel="0" collapsed="false">
      <c r="A822" s="116"/>
      <c r="B822" s="19"/>
      <c r="C822" s="19"/>
      <c r="D822" s="36"/>
      <c r="E822" s="19"/>
      <c r="F822" s="37"/>
      <c r="G822" s="38"/>
      <c r="H822" s="38"/>
      <c r="I822" s="38"/>
      <c r="J822" s="38"/>
      <c r="K822" s="38"/>
      <c r="L822" s="38"/>
      <c r="M822" s="38"/>
      <c r="N822" s="39"/>
      <c r="O822" s="38"/>
      <c r="P822" s="30"/>
      <c r="Q822" s="35"/>
      <c r="R822" s="31"/>
      <c r="S822" s="31"/>
      <c r="T822" s="31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F822" s="31"/>
      <c r="AG822" s="31"/>
      <c r="AH822" s="31"/>
      <c r="AI822" s="31"/>
      <c r="AJ822" s="31"/>
    </row>
    <row r="823" customFormat="false" ht="14.25" hidden="false" customHeight="true" outlineLevel="0" collapsed="false">
      <c r="A823" s="116"/>
      <c r="B823" s="19"/>
      <c r="C823" s="19"/>
      <c r="D823" s="36"/>
      <c r="E823" s="19"/>
      <c r="F823" s="37"/>
      <c r="G823" s="38"/>
      <c r="H823" s="38"/>
      <c r="I823" s="38"/>
      <c r="J823" s="38"/>
      <c r="K823" s="38"/>
      <c r="L823" s="38"/>
      <c r="M823" s="38"/>
      <c r="N823" s="39"/>
      <c r="O823" s="38"/>
      <c r="P823" s="30"/>
      <c r="Q823" s="35"/>
      <c r="R823" s="31"/>
      <c r="S823" s="31"/>
      <c r="T823" s="31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F823" s="31"/>
      <c r="AG823" s="31"/>
      <c r="AH823" s="31"/>
      <c r="AI823" s="31"/>
      <c r="AJ823" s="31"/>
    </row>
    <row r="824" customFormat="false" ht="14.25" hidden="false" customHeight="true" outlineLevel="0" collapsed="false">
      <c r="A824" s="116"/>
      <c r="B824" s="19"/>
      <c r="C824" s="19"/>
      <c r="D824" s="36"/>
      <c r="E824" s="19"/>
      <c r="F824" s="37"/>
      <c r="G824" s="38"/>
      <c r="H824" s="38"/>
      <c r="I824" s="38"/>
      <c r="J824" s="38"/>
      <c r="K824" s="38"/>
      <c r="L824" s="38"/>
      <c r="M824" s="38"/>
      <c r="N824" s="39"/>
      <c r="O824" s="38"/>
      <c r="P824" s="30"/>
      <c r="Q824" s="35"/>
      <c r="R824" s="31"/>
      <c r="S824" s="31"/>
      <c r="T824" s="31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F824" s="31"/>
      <c r="AG824" s="31"/>
      <c r="AH824" s="31"/>
      <c r="AI824" s="31"/>
      <c r="AJ824" s="31"/>
    </row>
    <row r="825" customFormat="false" ht="14.25" hidden="false" customHeight="true" outlineLevel="0" collapsed="false">
      <c r="A825" s="116"/>
      <c r="B825" s="19"/>
      <c r="C825" s="19"/>
      <c r="D825" s="36"/>
      <c r="E825" s="19"/>
      <c r="F825" s="37"/>
      <c r="G825" s="38"/>
      <c r="H825" s="38"/>
      <c r="I825" s="38"/>
      <c r="J825" s="38"/>
      <c r="K825" s="38"/>
      <c r="L825" s="38"/>
      <c r="M825" s="38"/>
      <c r="N825" s="39"/>
      <c r="O825" s="38"/>
      <c r="P825" s="30"/>
      <c r="Q825" s="35"/>
      <c r="R825" s="31"/>
      <c r="S825" s="31"/>
      <c r="T825" s="31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F825" s="31"/>
      <c r="AG825" s="31"/>
      <c r="AH825" s="31"/>
      <c r="AI825" s="31"/>
      <c r="AJ825" s="31"/>
    </row>
    <row r="826" customFormat="false" ht="14.25" hidden="false" customHeight="true" outlineLevel="0" collapsed="false">
      <c r="A826" s="116"/>
      <c r="B826" s="19"/>
      <c r="C826" s="19"/>
      <c r="D826" s="36"/>
      <c r="E826" s="19"/>
      <c r="F826" s="37"/>
      <c r="G826" s="38"/>
      <c r="H826" s="38"/>
      <c r="I826" s="38"/>
      <c r="J826" s="38"/>
      <c r="K826" s="38"/>
      <c r="L826" s="38"/>
      <c r="M826" s="38"/>
      <c r="N826" s="39"/>
      <c r="O826" s="38"/>
      <c r="P826" s="30"/>
      <c r="Q826" s="35"/>
      <c r="R826" s="31"/>
      <c r="S826" s="31"/>
      <c r="T826" s="31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F826" s="31"/>
      <c r="AG826" s="31"/>
      <c r="AH826" s="31"/>
      <c r="AI826" s="31"/>
      <c r="AJ826" s="31"/>
    </row>
    <row r="827" customFormat="false" ht="14.25" hidden="false" customHeight="true" outlineLevel="0" collapsed="false">
      <c r="A827" s="116"/>
      <c r="B827" s="19"/>
      <c r="C827" s="19"/>
      <c r="D827" s="36"/>
      <c r="E827" s="19"/>
      <c r="F827" s="37"/>
      <c r="G827" s="38"/>
      <c r="H827" s="38"/>
      <c r="I827" s="38"/>
      <c r="J827" s="38"/>
      <c r="K827" s="38"/>
      <c r="L827" s="38"/>
      <c r="M827" s="38"/>
      <c r="N827" s="39"/>
      <c r="O827" s="38"/>
      <c r="P827" s="30"/>
      <c r="Q827" s="35"/>
      <c r="R827" s="31"/>
      <c r="S827" s="31"/>
      <c r="T827" s="31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F827" s="31"/>
      <c r="AG827" s="31"/>
      <c r="AH827" s="31"/>
      <c r="AI827" s="31"/>
      <c r="AJ827" s="31"/>
    </row>
    <row r="828" customFormat="false" ht="14.25" hidden="false" customHeight="true" outlineLevel="0" collapsed="false">
      <c r="A828" s="116"/>
      <c r="B828" s="19"/>
      <c r="C828" s="19"/>
      <c r="D828" s="36"/>
      <c r="E828" s="19"/>
      <c r="F828" s="37"/>
      <c r="G828" s="38"/>
      <c r="H828" s="38"/>
      <c r="I828" s="38"/>
      <c r="J828" s="38"/>
      <c r="K828" s="38"/>
      <c r="L828" s="38"/>
      <c r="M828" s="38"/>
      <c r="N828" s="39"/>
      <c r="O828" s="38"/>
      <c r="P828" s="30"/>
      <c r="Q828" s="35"/>
      <c r="R828" s="31"/>
      <c r="S828" s="31"/>
      <c r="T828" s="31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F828" s="31"/>
      <c r="AG828" s="31"/>
      <c r="AH828" s="31"/>
      <c r="AI828" s="31"/>
      <c r="AJ828" s="31"/>
    </row>
    <row r="829" customFormat="false" ht="14.25" hidden="false" customHeight="true" outlineLevel="0" collapsed="false">
      <c r="A829" s="116"/>
      <c r="B829" s="19"/>
      <c r="C829" s="19"/>
      <c r="D829" s="36"/>
      <c r="E829" s="19"/>
      <c r="F829" s="37"/>
      <c r="G829" s="38"/>
      <c r="H829" s="38"/>
      <c r="I829" s="38"/>
      <c r="J829" s="38"/>
      <c r="K829" s="38"/>
      <c r="L829" s="38"/>
      <c r="M829" s="38"/>
      <c r="N829" s="39"/>
      <c r="O829" s="38"/>
      <c r="P829" s="30"/>
      <c r="Q829" s="35"/>
      <c r="R829" s="31"/>
      <c r="S829" s="31"/>
      <c r="T829" s="31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F829" s="31"/>
      <c r="AG829" s="31"/>
      <c r="AH829" s="31"/>
      <c r="AI829" s="31"/>
      <c r="AJ829" s="31"/>
    </row>
    <row r="830" customFormat="false" ht="14.25" hidden="false" customHeight="true" outlineLevel="0" collapsed="false">
      <c r="A830" s="116"/>
      <c r="B830" s="19"/>
      <c r="C830" s="19"/>
      <c r="D830" s="36"/>
      <c r="E830" s="19"/>
      <c r="F830" s="37"/>
      <c r="G830" s="38"/>
      <c r="H830" s="38"/>
      <c r="I830" s="38"/>
      <c r="J830" s="38"/>
      <c r="K830" s="38"/>
      <c r="L830" s="38"/>
      <c r="M830" s="38"/>
      <c r="N830" s="39"/>
      <c r="O830" s="38"/>
      <c r="P830" s="30"/>
      <c r="Q830" s="35"/>
      <c r="R830" s="31"/>
      <c r="S830" s="31"/>
      <c r="T830" s="31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F830" s="31"/>
      <c r="AG830" s="31"/>
      <c r="AH830" s="31"/>
      <c r="AI830" s="31"/>
      <c r="AJ830" s="31"/>
    </row>
    <row r="831" customFormat="false" ht="14.25" hidden="false" customHeight="true" outlineLevel="0" collapsed="false">
      <c r="A831" s="116"/>
      <c r="B831" s="19"/>
      <c r="C831" s="19"/>
      <c r="D831" s="36"/>
      <c r="E831" s="19"/>
      <c r="F831" s="37"/>
      <c r="G831" s="38"/>
      <c r="H831" s="38"/>
      <c r="I831" s="38"/>
      <c r="J831" s="38"/>
      <c r="K831" s="38"/>
      <c r="L831" s="38"/>
      <c r="M831" s="38"/>
      <c r="N831" s="39"/>
      <c r="O831" s="38"/>
      <c r="P831" s="30"/>
      <c r="Q831" s="35"/>
      <c r="R831" s="31"/>
      <c r="S831" s="31"/>
      <c r="T831" s="31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F831" s="31"/>
      <c r="AG831" s="31"/>
      <c r="AH831" s="31"/>
      <c r="AI831" s="31"/>
      <c r="AJ831" s="31"/>
    </row>
    <row r="832" customFormat="false" ht="14.25" hidden="false" customHeight="true" outlineLevel="0" collapsed="false">
      <c r="A832" s="116"/>
      <c r="B832" s="19"/>
      <c r="C832" s="19"/>
      <c r="D832" s="36"/>
      <c r="E832" s="19"/>
      <c r="F832" s="37"/>
      <c r="G832" s="38"/>
      <c r="H832" s="38"/>
      <c r="I832" s="38"/>
      <c r="J832" s="38"/>
      <c r="K832" s="38"/>
      <c r="L832" s="38"/>
      <c r="M832" s="38"/>
      <c r="N832" s="39"/>
      <c r="O832" s="38"/>
      <c r="P832" s="30"/>
      <c r="Q832" s="35"/>
      <c r="R832" s="31"/>
      <c r="S832" s="31"/>
      <c r="T832" s="31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F832" s="31"/>
      <c r="AG832" s="31"/>
      <c r="AH832" s="31"/>
      <c r="AI832" s="31"/>
      <c r="AJ832" s="31"/>
    </row>
    <row r="833" customFormat="false" ht="14.25" hidden="false" customHeight="true" outlineLevel="0" collapsed="false">
      <c r="A833" s="116"/>
      <c r="B833" s="19"/>
      <c r="C833" s="19"/>
      <c r="D833" s="36"/>
      <c r="E833" s="19"/>
      <c r="F833" s="37"/>
      <c r="G833" s="38"/>
      <c r="H833" s="38"/>
      <c r="I833" s="38"/>
      <c r="J833" s="38"/>
      <c r="K833" s="38"/>
      <c r="L833" s="38"/>
      <c r="M833" s="38"/>
      <c r="N833" s="39"/>
      <c r="O833" s="38"/>
      <c r="P833" s="30"/>
      <c r="Q833" s="35"/>
      <c r="R833" s="31"/>
      <c r="S833" s="31"/>
      <c r="T833" s="31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F833" s="31"/>
      <c r="AG833" s="31"/>
      <c r="AH833" s="31"/>
      <c r="AI833" s="31"/>
      <c r="AJ833" s="31"/>
    </row>
    <row r="834" customFormat="false" ht="14.25" hidden="false" customHeight="true" outlineLevel="0" collapsed="false">
      <c r="A834" s="116"/>
      <c r="B834" s="19"/>
      <c r="C834" s="19"/>
      <c r="D834" s="36"/>
      <c r="E834" s="19"/>
      <c r="F834" s="37"/>
      <c r="G834" s="38"/>
      <c r="H834" s="38"/>
      <c r="I834" s="38"/>
      <c r="J834" s="38"/>
      <c r="K834" s="38"/>
      <c r="L834" s="38"/>
      <c r="M834" s="38"/>
      <c r="N834" s="39"/>
      <c r="O834" s="38"/>
      <c r="P834" s="30"/>
      <c r="Q834" s="35"/>
      <c r="R834" s="31"/>
      <c r="S834" s="31"/>
      <c r="T834" s="31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F834" s="31"/>
      <c r="AG834" s="31"/>
      <c r="AH834" s="31"/>
      <c r="AI834" s="31"/>
      <c r="AJ834" s="31"/>
    </row>
    <row r="835" customFormat="false" ht="14.25" hidden="false" customHeight="true" outlineLevel="0" collapsed="false">
      <c r="A835" s="116"/>
      <c r="B835" s="19"/>
      <c r="C835" s="19"/>
      <c r="D835" s="36"/>
      <c r="E835" s="19"/>
      <c r="F835" s="37"/>
      <c r="G835" s="38"/>
      <c r="H835" s="38"/>
      <c r="I835" s="38"/>
      <c r="J835" s="38"/>
      <c r="K835" s="38"/>
      <c r="L835" s="38"/>
      <c r="M835" s="38"/>
      <c r="N835" s="39"/>
      <c r="O835" s="38"/>
      <c r="P835" s="30"/>
      <c r="Q835" s="35"/>
      <c r="R835" s="31"/>
      <c r="S835" s="31"/>
      <c r="T835" s="31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F835" s="31"/>
      <c r="AG835" s="31"/>
      <c r="AH835" s="31"/>
      <c r="AI835" s="31"/>
      <c r="AJ835" s="31"/>
    </row>
    <row r="836" customFormat="false" ht="14.25" hidden="false" customHeight="true" outlineLevel="0" collapsed="false">
      <c r="A836" s="116"/>
      <c r="B836" s="19"/>
      <c r="C836" s="19"/>
      <c r="D836" s="36"/>
      <c r="E836" s="19"/>
      <c r="F836" s="37"/>
      <c r="G836" s="38"/>
      <c r="H836" s="38"/>
      <c r="I836" s="38"/>
      <c r="J836" s="38"/>
      <c r="K836" s="38"/>
      <c r="L836" s="38"/>
      <c r="M836" s="38"/>
      <c r="N836" s="39"/>
      <c r="O836" s="38"/>
      <c r="P836" s="30"/>
      <c r="Q836" s="35"/>
      <c r="R836" s="31"/>
      <c r="S836" s="31"/>
      <c r="T836" s="31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F836" s="31"/>
      <c r="AG836" s="31"/>
      <c r="AH836" s="31"/>
      <c r="AI836" s="31"/>
      <c r="AJ836" s="31"/>
    </row>
    <row r="837" customFormat="false" ht="14.25" hidden="false" customHeight="true" outlineLevel="0" collapsed="false">
      <c r="A837" s="116"/>
      <c r="B837" s="19"/>
      <c r="C837" s="19"/>
      <c r="D837" s="36"/>
      <c r="E837" s="19"/>
      <c r="F837" s="37"/>
      <c r="G837" s="38"/>
      <c r="H837" s="38"/>
      <c r="I837" s="38"/>
      <c r="J837" s="38"/>
      <c r="K837" s="38"/>
      <c r="L837" s="38"/>
      <c r="M837" s="38"/>
      <c r="N837" s="39"/>
      <c r="O837" s="38"/>
      <c r="P837" s="30"/>
      <c r="Q837" s="35"/>
      <c r="R837" s="31"/>
      <c r="S837" s="31"/>
      <c r="T837" s="31"/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F837" s="31"/>
      <c r="AG837" s="31"/>
      <c r="AH837" s="31"/>
      <c r="AI837" s="31"/>
      <c r="AJ837" s="31"/>
    </row>
    <row r="838" customFormat="false" ht="14.25" hidden="false" customHeight="true" outlineLevel="0" collapsed="false">
      <c r="A838" s="116"/>
      <c r="B838" s="19"/>
      <c r="C838" s="19"/>
      <c r="D838" s="36"/>
      <c r="E838" s="19"/>
      <c r="F838" s="37"/>
      <c r="G838" s="38"/>
      <c r="H838" s="38"/>
      <c r="I838" s="38"/>
      <c r="J838" s="38"/>
      <c r="K838" s="38"/>
      <c r="L838" s="38"/>
      <c r="M838" s="38"/>
      <c r="N838" s="39"/>
      <c r="O838" s="38"/>
      <c r="P838" s="30"/>
      <c r="Q838" s="35"/>
      <c r="R838" s="31"/>
      <c r="S838" s="31"/>
      <c r="T838" s="31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F838" s="31"/>
      <c r="AG838" s="31"/>
      <c r="AH838" s="31"/>
      <c r="AI838" s="31"/>
      <c r="AJ838" s="31"/>
    </row>
    <row r="839" customFormat="false" ht="14.25" hidden="false" customHeight="true" outlineLevel="0" collapsed="false">
      <c r="A839" s="116"/>
      <c r="B839" s="19"/>
      <c r="C839" s="19"/>
      <c r="D839" s="36"/>
      <c r="E839" s="19"/>
      <c r="F839" s="37"/>
      <c r="G839" s="38"/>
      <c r="H839" s="38"/>
      <c r="I839" s="38"/>
      <c r="J839" s="38"/>
      <c r="K839" s="38"/>
      <c r="L839" s="38"/>
      <c r="M839" s="38"/>
      <c r="N839" s="39"/>
      <c r="O839" s="38"/>
      <c r="P839" s="30"/>
      <c r="Q839" s="35"/>
      <c r="R839" s="31"/>
      <c r="S839" s="31"/>
      <c r="T839" s="31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F839" s="31"/>
      <c r="AG839" s="31"/>
      <c r="AH839" s="31"/>
      <c r="AI839" s="31"/>
      <c r="AJ839" s="31"/>
    </row>
    <row r="840" customFormat="false" ht="14.25" hidden="false" customHeight="true" outlineLevel="0" collapsed="false">
      <c r="A840" s="116"/>
      <c r="B840" s="19"/>
      <c r="C840" s="19"/>
      <c r="D840" s="36"/>
      <c r="E840" s="19"/>
      <c r="F840" s="37"/>
      <c r="G840" s="38"/>
      <c r="H840" s="38"/>
      <c r="I840" s="38"/>
      <c r="J840" s="38"/>
      <c r="K840" s="38"/>
      <c r="L840" s="38"/>
      <c r="M840" s="38"/>
      <c r="N840" s="39"/>
      <c r="O840" s="38"/>
      <c r="P840" s="30"/>
      <c r="Q840" s="35"/>
      <c r="R840" s="31"/>
      <c r="S840" s="31"/>
      <c r="T840" s="31"/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F840" s="31"/>
      <c r="AG840" s="31"/>
      <c r="AH840" s="31"/>
      <c r="AI840" s="31"/>
      <c r="AJ840" s="31"/>
    </row>
    <row r="841" customFormat="false" ht="14.25" hidden="false" customHeight="true" outlineLevel="0" collapsed="false">
      <c r="A841" s="116"/>
      <c r="B841" s="19"/>
      <c r="C841" s="19"/>
      <c r="D841" s="36"/>
      <c r="E841" s="19"/>
      <c r="F841" s="37"/>
      <c r="G841" s="38"/>
      <c r="H841" s="38"/>
      <c r="I841" s="38"/>
      <c r="J841" s="38"/>
      <c r="K841" s="38"/>
      <c r="L841" s="38"/>
      <c r="M841" s="38"/>
      <c r="N841" s="39"/>
      <c r="O841" s="38"/>
      <c r="P841" s="30"/>
      <c r="Q841" s="35"/>
      <c r="R841" s="31"/>
      <c r="S841" s="31"/>
      <c r="T841" s="31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F841" s="31"/>
      <c r="AG841" s="31"/>
      <c r="AH841" s="31"/>
      <c r="AI841" s="31"/>
      <c r="AJ841" s="31"/>
    </row>
    <row r="842" customFormat="false" ht="14.25" hidden="false" customHeight="true" outlineLevel="0" collapsed="false">
      <c r="A842" s="116"/>
      <c r="B842" s="19"/>
      <c r="C842" s="19"/>
      <c r="D842" s="36"/>
      <c r="E842" s="19"/>
      <c r="F842" s="37"/>
      <c r="G842" s="38"/>
      <c r="H842" s="38"/>
      <c r="I842" s="38"/>
      <c r="J842" s="38"/>
      <c r="K842" s="38"/>
      <c r="L842" s="38"/>
      <c r="M842" s="38"/>
      <c r="N842" s="39"/>
      <c r="O842" s="38"/>
      <c r="P842" s="30"/>
      <c r="Q842" s="35"/>
      <c r="R842" s="31"/>
      <c r="S842" s="31"/>
      <c r="T842" s="31"/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F842" s="31"/>
      <c r="AG842" s="31"/>
      <c r="AH842" s="31"/>
      <c r="AI842" s="31"/>
      <c r="AJ842" s="31"/>
    </row>
    <row r="843" customFormat="false" ht="14.25" hidden="false" customHeight="true" outlineLevel="0" collapsed="false">
      <c r="A843" s="116"/>
      <c r="B843" s="19"/>
      <c r="C843" s="19"/>
      <c r="D843" s="36"/>
      <c r="E843" s="19"/>
      <c r="F843" s="37"/>
      <c r="G843" s="38"/>
      <c r="H843" s="38"/>
      <c r="I843" s="38"/>
      <c r="J843" s="38"/>
      <c r="K843" s="38"/>
      <c r="L843" s="38"/>
      <c r="M843" s="38"/>
      <c r="N843" s="39"/>
      <c r="O843" s="38"/>
      <c r="P843" s="30"/>
      <c r="Q843" s="35"/>
      <c r="R843" s="31"/>
      <c r="S843" s="31"/>
      <c r="T843" s="31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F843" s="31"/>
      <c r="AG843" s="31"/>
      <c r="AH843" s="31"/>
      <c r="AI843" s="31"/>
      <c r="AJ843" s="31"/>
    </row>
    <row r="844" customFormat="false" ht="14.25" hidden="false" customHeight="true" outlineLevel="0" collapsed="false">
      <c r="A844" s="116"/>
      <c r="B844" s="19"/>
      <c r="C844" s="19"/>
      <c r="D844" s="36"/>
      <c r="E844" s="19"/>
      <c r="F844" s="37"/>
      <c r="G844" s="38"/>
      <c r="H844" s="38"/>
      <c r="I844" s="38"/>
      <c r="J844" s="38"/>
      <c r="K844" s="38"/>
      <c r="L844" s="38"/>
      <c r="M844" s="38"/>
      <c r="N844" s="39"/>
      <c r="O844" s="38"/>
      <c r="P844" s="30"/>
      <c r="Q844" s="35"/>
      <c r="R844" s="31"/>
      <c r="S844" s="31"/>
      <c r="T844" s="31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F844" s="31"/>
      <c r="AG844" s="31"/>
      <c r="AH844" s="31"/>
      <c r="AI844" s="31"/>
      <c r="AJ844" s="31"/>
    </row>
    <row r="845" customFormat="false" ht="14.25" hidden="false" customHeight="true" outlineLevel="0" collapsed="false">
      <c r="A845" s="116"/>
      <c r="B845" s="19"/>
      <c r="C845" s="19"/>
      <c r="D845" s="36"/>
      <c r="E845" s="19"/>
      <c r="F845" s="37"/>
      <c r="G845" s="38"/>
      <c r="H845" s="38"/>
      <c r="I845" s="38"/>
      <c r="J845" s="38"/>
      <c r="K845" s="38"/>
      <c r="L845" s="38"/>
      <c r="M845" s="38"/>
      <c r="N845" s="39"/>
      <c r="O845" s="38"/>
      <c r="P845" s="30"/>
      <c r="Q845" s="35"/>
      <c r="R845" s="31"/>
      <c r="S845" s="31"/>
      <c r="T845" s="31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F845" s="31"/>
      <c r="AG845" s="31"/>
      <c r="AH845" s="31"/>
      <c r="AI845" s="31"/>
      <c r="AJ845" s="31"/>
    </row>
    <row r="846" customFormat="false" ht="14.25" hidden="false" customHeight="true" outlineLevel="0" collapsed="false">
      <c r="A846" s="116"/>
      <c r="B846" s="19"/>
      <c r="C846" s="19"/>
      <c r="D846" s="36"/>
      <c r="E846" s="19"/>
      <c r="F846" s="37"/>
      <c r="G846" s="38"/>
      <c r="H846" s="38"/>
      <c r="I846" s="38"/>
      <c r="J846" s="38"/>
      <c r="K846" s="38"/>
      <c r="L846" s="38"/>
      <c r="M846" s="38"/>
      <c r="N846" s="39"/>
      <c r="O846" s="38"/>
      <c r="P846" s="30"/>
      <c r="Q846" s="35"/>
      <c r="R846" s="31"/>
      <c r="S846" s="31"/>
      <c r="T846" s="31"/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F846" s="31"/>
      <c r="AG846" s="31"/>
      <c r="AH846" s="31"/>
      <c r="AI846" s="31"/>
      <c r="AJ846" s="31"/>
    </row>
    <row r="847" customFormat="false" ht="14.25" hidden="false" customHeight="true" outlineLevel="0" collapsed="false">
      <c r="A847" s="116"/>
      <c r="B847" s="19"/>
      <c r="C847" s="19"/>
      <c r="D847" s="36"/>
      <c r="E847" s="19"/>
      <c r="F847" s="37"/>
      <c r="G847" s="38"/>
      <c r="H847" s="38"/>
      <c r="I847" s="38"/>
      <c r="J847" s="38"/>
      <c r="K847" s="38"/>
      <c r="L847" s="38"/>
      <c r="M847" s="38"/>
      <c r="N847" s="39"/>
      <c r="O847" s="38"/>
      <c r="P847" s="30"/>
      <c r="Q847" s="35"/>
      <c r="R847" s="31"/>
      <c r="S847" s="31"/>
      <c r="T847" s="31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F847" s="31"/>
      <c r="AG847" s="31"/>
      <c r="AH847" s="31"/>
      <c r="AI847" s="31"/>
      <c r="AJ847" s="31"/>
    </row>
    <row r="848" customFormat="false" ht="14.25" hidden="false" customHeight="true" outlineLevel="0" collapsed="false">
      <c r="A848" s="116"/>
      <c r="B848" s="19"/>
      <c r="C848" s="19"/>
      <c r="D848" s="36"/>
      <c r="E848" s="19"/>
      <c r="F848" s="37"/>
      <c r="G848" s="38"/>
      <c r="H848" s="38"/>
      <c r="I848" s="38"/>
      <c r="J848" s="38"/>
      <c r="K848" s="38"/>
      <c r="L848" s="38"/>
      <c r="M848" s="38"/>
      <c r="N848" s="39"/>
      <c r="O848" s="38"/>
      <c r="P848" s="30"/>
      <c r="Q848" s="35"/>
      <c r="R848" s="31"/>
      <c r="S848" s="31"/>
      <c r="T848" s="31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F848" s="31"/>
      <c r="AG848" s="31"/>
      <c r="AH848" s="31"/>
      <c r="AI848" s="31"/>
      <c r="AJ848" s="31"/>
    </row>
    <row r="849" customFormat="false" ht="14.25" hidden="false" customHeight="true" outlineLevel="0" collapsed="false">
      <c r="A849" s="116"/>
      <c r="B849" s="19"/>
      <c r="C849" s="19"/>
      <c r="D849" s="36"/>
      <c r="E849" s="19"/>
      <c r="F849" s="37"/>
      <c r="G849" s="38"/>
      <c r="H849" s="38"/>
      <c r="I849" s="38"/>
      <c r="J849" s="38"/>
      <c r="K849" s="38"/>
      <c r="L849" s="38"/>
      <c r="M849" s="38"/>
      <c r="N849" s="39"/>
      <c r="O849" s="38"/>
      <c r="P849" s="30"/>
      <c r="Q849" s="35"/>
      <c r="R849" s="31"/>
      <c r="S849" s="31"/>
      <c r="T849" s="31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F849" s="31"/>
      <c r="AG849" s="31"/>
      <c r="AH849" s="31"/>
      <c r="AI849" s="31"/>
      <c r="AJ849" s="31"/>
    </row>
    <row r="850" customFormat="false" ht="14.25" hidden="false" customHeight="true" outlineLevel="0" collapsed="false">
      <c r="A850" s="116"/>
      <c r="B850" s="19"/>
      <c r="C850" s="19"/>
      <c r="D850" s="36"/>
      <c r="E850" s="19"/>
      <c r="F850" s="37"/>
      <c r="G850" s="38"/>
      <c r="H850" s="38"/>
      <c r="I850" s="38"/>
      <c r="J850" s="38"/>
      <c r="K850" s="38"/>
      <c r="L850" s="38"/>
      <c r="M850" s="38"/>
      <c r="N850" s="39"/>
      <c r="O850" s="38"/>
      <c r="P850" s="30"/>
      <c r="Q850" s="35"/>
      <c r="R850" s="31"/>
      <c r="S850" s="31"/>
      <c r="T850" s="31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F850" s="31"/>
      <c r="AG850" s="31"/>
      <c r="AH850" s="31"/>
      <c r="AI850" s="31"/>
      <c r="AJ850" s="31"/>
    </row>
    <row r="851" customFormat="false" ht="14.25" hidden="false" customHeight="true" outlineLevel="0" collapsed="false">
      <c r="A851" s="116"/>
      <c r="B851" s="19"/>
      <c r="C851" s="19"/>
      <c r="D851" s="36"/>
      <c r="E851" s="19"/>
      <c r="F851" s="37"/>
      <c r="G851" s="38"/>
      <c r="H851" s="38"/>
      <c r="I851" s="38"/>
      <c r="J851" s="38"/>
      <c r="K851" s="38"/>
      <c r="L851" s="38"/>
      <c r="M851" s="38"/>
      <c r="N851" s="39"/>
      <c r="O851" s="38"/>
      <c r="P851" s="30"/>
      <c r="Q851" s="35"/>
      <c r="R851" s="31"/>
      <c r="S851" s="31"/>
      <c r="T851" s="31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F851" s="31"/>
      <c r="AG851" s="31"/>
      <c r="AH851" s="31"/>
      <c r="AI851" s="31"/>
      <c r="AJ851" s="31"/>
    </row>
    <row r="852" customFormat="false" ht="14.25" hidden="false" customHeight="true" outlineLevel="0" collapsed="false">
      <c r="A852" s="116"/>
      <c r="B852" s="19"/>
      <c r="C852" s="19"/>
      <c r="D852" s="36"/>
      <c r="E852" s="19"/>
      <c r="F852" s="37"/>
      <c r="G852" s="38"/>
      <c r="H852" s="38"/>
      <c r="I852" s="38"/>
      <c r="J852" s="38"/>
      <c r="K852" s="38"/>
      <c r="L852" s="38"/>
      <c r="M852" s="38"/>
      <c r="N852" s="39"/>
      <c r="O852" s="38"/>
      <c r="P852" s="30"/>
      <c r="Q852" s="35"/>
      <c r="R852" s="31"/>
      <c r="S852" s="31"/>
      <c r="T852" s="31"/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F852" s="31"/>
      <c r="AG852" s="31"/>
      <c r="AH852" s="31"/>
      <c r="AI852" s="31"/>
      <c r="AJ852" s="31"/>
    </row>
    <row r="853" customFormat="false" ht="14.25" hidden="false" customHeight="true" outlineLevel="0" collapsed="false">
      <c r="A853" s="116"/>
      <c r="B853" s="19"/>
      <c r="C853" s="19"/>
      <c r="D853" s="36"/>
      <c r="E853" s="19"/>
      <c r="F853" s="37"/>
      <c r="G853" s="38"/>
      <c r="H853" s="38"/>
      <c r="I853" s="38"/>
      <c r="J853" s="38"/>
      <c r="K853" s="38"/>
      <c r="L853" s="38"/>
      <c r="M853" s="38"/>
      <c r="N853" s="39"/>
      <c r="O853" s="38"/>
      <c r="P853" s="30"/>
      <c r="Q853" s="35"/>
      <c r="R853" s="31"/>
      <c r="S853" s="31"/>
      <c r="T853" s="31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F853" s="31"/>
      <c r="AG853" s="31"/>
      <c r="AH853" s="31"/>
      <c r="AI853" s="31"/>
      <c r="AJ853" s="31"/>
    </row>
    <row r="854" customFormat="false" ht="14.25" hidden="false" customHeight="true" outlineLevel="0" collapsed="false">
      <c r="A854" s="116"/>
      <c r="B854" s="19"/>
      <c r="C854" s="19"/>
      <c r="D854" s="36"/>
      <c r="E854" s="19"/>
      <c r="F854" s="37"/>
      <c r="G854" s="38"/>
      <c r="H854" s="38"/>
      <c r="I854" s="38"/>
      <c r="J854" s="38"/>
      <c r="K854" s="38"/>
      <c r="L854" s="38"/>
      <c r="M854" s="38"/>
      <c r="N854" s="39"/>
      <c r="O854" s="38"/>
      <c r="P854" s="30"/>
      <c r="Q854" s="35"/>
      <c r="R854" s="31"/>
      <c r="S854" s="31"/>
      <c r="T854" s="31"/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F854" s="31"/>
      <c r="AG854" s="31"/>
      <c r="AH854" s="31"/>
      <c r="AI854" s="31"/>
      <c r="AJ854" s="31"/>
    </row>
    <row r="855" customFormat="false" ht="14.25" hidden="false" customHeight="true" outlineLevel="0" collapsed="false">
      <c r="A855" s="116"/>
      <c r="B855" s="19"/>
      <c r="C855" s="19"/>
      <c r="D855" s="36"/>
      <c r="E855" s="19"/>
      <c r="F855" s="37"/>
      <c r="G855" s="38"/>
      <c r="H855" s="38"/>
      <c r="I855" s="38"/>
      <c r="J855" s="38"/>
      <c r="K855" s="38"/>
      <c r="L855" s="38"/>
      <c r="M855" s="38"/>
      <c r="N855" s="39"/>
      <c r="O855" s="38"/>
      <c r="P855" s="30"/>
      <c r="Q855" s="35"/>
      <c r="R855" s="31"/>
      <c r="S855" s="31"/>
      <c r="T855" s="31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F855" s="31"/>
      <c r="AG855" s="31"/>
      <c r="AH855" s="31"/>
      <c r="AI855" s="31"/>
      <c r="AJ855" s="31"/>
    </row>
    <row r="856" customFormat="false" ht="14.25" hidden="false" customHeight="true" outlineLevel="0" collapsed="false">
      <c r="A856" s="116"/>
      <c r="B856" s="19"/>
      <c r="C856" s="19"/>
      <c r="D856" s="36"/>
      <c r="E856" s="19"/>
      <c r="F856" s="37"/>
      <c r="G856" s="38"/>
      <c r="H856" s="38"/>
      <c r="I856" s="38"/>
      <c r="J856" s="38"/>
      <c r="K856" s="38"/>
      <c r="L856" s="38"/>
      <c r="M856" s="38"/>
      <c r="N856" s="39"/>
      <c r="O856" s="38"/>
      <c r="P856" s="30"/>
      <c r="Q856" s="35"/>
      <c r="R856" s="31"/>
      <c r="S856" s="31"/>
      <c r="T856" s="31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F856" s="31"/>
      <c r="AG856" s="31"/>
      <c r="AH856" s="31"/>
      <c r="AI856" s="31"/>
      <c r="AJ856" s="31"/>
    </row>
    <row r="857" customFormat="false" ht="14.25" hidden="false" customHeight="true" outlineLevel="0" collapsed="false">
      <c r="A857" s="116"/>
      <c r="B857" s="19"/>
      <c r="C857" s="19"/>
      <c r="D857" s="36"/>
      <c r="E857" s="19"/>
      <c r="F857" s="37"/>
      <c r="G857" s="38"/>
      <c r="H857" s="38"/>
      <c r="I857" s="38"/>
      <c r="J857" s="38"/>
      <c r="K857" s="38"/>
      <c r="L857" s="38"/>
      <c r="M857" s="38"/>
      <c r="N857" s="39"/>
      <c r="O857" s="38"/>
      <c r="P857" s="30"/>
      <c r="Q857" s="35"/>
      <c r="R857" s="31"/>
      <c r="S857" s="31"/>
      <c r="T857" s="31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F857" s="31"/>
      <c r="AG857" s="31"/>
      <c r="AH857" s="31"/>
      <c r="AI857" s="31"/>
      <c r="AJ857" s="31"/>
    </row>
    <row r="858" customFormat="false" ht="14.25" hidden="false" customHeight="true" outlineLevel="0" collapsed="false">
      <c r="A858" s="116"/>
      <c r="B858" s="19"/>
      <c r="C858" s="19"/>
      <c r="D858" s="36"/>
      <c r="E858" s="19"/>
      <c r="F858" s="37"/>
      <c r="G858" s="38"/>
      <c r="H858" s="38"/>
      <c r="I858" s="38"/>
      <c r="J858" s="38"/>
      <c r="K858" s="38"/>
      <c r="L858" s="38"/>
      <c r="M858" s="38"/>
      <c r="N858" s="39"/>
      <c r="O858" s="38"/>
      <c r="P858" s="30"/>
      <c r="Q858" s="35"/>
      <c r="R858" s="31"/>
      <c r="S858" s="31"/>
      <c r="T858" s="31"/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F858" s="31"/>
      <c r="AG858" s="31"/>
      <c r="AH858" s="31"/>
      <c r="AI858" s="31"/>
      <c r="AJ858" s="31"/>
    </row>
    <row r="859" customFormat="false" ht="14.25" hidden="false" customHeight="true" outlineLevel="0" collapsed="false">
      <c r="A859" s="116"/>
      <c r="B859" s="19"/>
      <c r="C859" s="19"/>
      <c r="D859" s="36"/>
      <c r="E859" s="19"/>
      <c r="F859" s="37"/>
      <c r="G859" s="38"/>
      <c r="H859" s="38"/>
      <c r="I859" s="38"/>
      <c r="J859" s="38"/>
      <c r="K859" s="38"/>
      <c r="L859" s="38"/>
      <c r="M859" s="38"/>
      <c r="N859" s="39"/>
      <c r="O859" s="38"/>
      <c r="P859" s="30"/>
      <c r="Q859" s="35"/>
      <c r="R859" s="31"/>
      <c r="S859" s="31"/>
      <c r="T859" s="31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F859" s="31"/>
      <c r="AG859" s="31"/>
      <c r="AH859" s="31"/>
      <c r="AI859" s="31"/>
      <c r="AJ859" s="31"/>
    </row>
    <row r="860" customFormat="false" ht="14.25" hidden="false" customHeight="true" outlineLevel="0" collapsed="false">
      <c r="A860" s="116"/>
      <c r="B860" s="19"/>
      <c r="C860" s="19"/>
      <c r="D860" s="36"/>
      <c r="E860" s="19"/>
      <c r="F860" s="37"/>
      <c r="G860" s="38"/>
      <c r="H860" s="38"/>
      <c r="I860" s="38"/>
      <c r="J860" s="38"/>
      <c r="K860" s="38"/>
      <c r="L860" s="38"/>
      <c r="M860" s="38"/>
      <c r="N860" s="39"/>
      <c r="O860" s="38"/>
      <c r="P860" s="30"/>
      <c r="Q860" s="35"/>
      <c r="R860" s="31"/>
      <c r="S860" s="31"/>
      <c r="T860" s="31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F860" s="31"/>
      <c r="AG860" s="31"/>
      <c r="AH860" s="31"/>
      <c r="AI860" s="31"/>
      <c r="AJ860" s="31"/>
    </row>
    <row r="861" customFormat="false" ht="14.25" hidden="false" customHeight="true" outlineLevel="0" collapsed="false">
      <c r="A861" s="116"/>
      <c r="B861" s="19"/>
      <c r="C861" s="19"/>
      <c r="D861" s="36"/>
      <c r="E861" s="19"/>
      <c r="F861" s="37"/>
      <c r="G861" s="38"/>
      <c r="H861" s="38"/>
      <c r="I861" s="38"/>
      <c r="J861" s="38"/>
      <c r="K861" s="38"/>
      <c r="L861" s="38"/>
      <c r="M861" s="38"/>
      <c r="N861" s="39"/>
      <c r="O861" s="38"/>
      <c r="P861" s="30"/>
      <c r="Q861" s="35"/>
      <c r="R861" s="31"/>
      <c r="S861" s="31"/>
      <c r="T861" s="31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F861" s="31"/>
      <c r="AG861" s="31"/>
      <c r="AH861" s="31"/>
      <c r="AI861" s="31"/>
      <c r="AJ861" s="31"/>
    </row>
    <row r="862" customFormat="false" ht="14.25" hidden="false" customHeight="true" outlineLevel="0" collapsed="false">
      <c r="A862" s="116"/>
      <c r="B862" s="19"/>
      <c r="C862" s="19"/>
      <c r="D862" s="36"/>
      <c r="E862" s="19"/>
      <c r="F862" s="37"/>
      <c r="G862" s="38"/>
      <c r="H862" s="38"/>
      <c r="I862" s="38"/>
      <c r="J862" s="38"/>
      <c r="K862" s="38"/>
      <c r="L862" s="38"/>
      <c r="M862" s="38"/>
      <c r="N862" s="39"/>
      <c r="O862" s="38"/>
      <c r="P862" s="30"/>
      <c r="Q862" s="35"/>
      <c r="R862" s="31"/>
      <c r="S862" s="31"/>
      <c r="T862" s="31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F862" s="31"/>
      <c r="AG862" s="31"/>
      <c r="AH862" s="31"/>
      <c r="AI862" s="31"/>
      <c r="AJ862" s="31"/>
    </row>
    <row r="863" customFormat="false" ht="14.25" hidden="false" customHeight="true" outlineLevel="0" collapsed="false">
      <c r="A863" s="116"/>
      <c r="B863" s="19"/>
      <c r="C863" s="19"/>
      <c r="D863" s="36"/>
      <c r="E863" s="19"/>
      <c r="F863" s="37"/>
      <c r="G863" s="38"/>
      <c r="H863" s="38"/>
      <c r="I863" s="38"/>
      <c r="J863" s="38"/>
      <c r="K863" s="38"/>
      <c r="L863" s="38"/>
      <c r="M863" s="38"/>
      <c r="N863" s="39"/>
      <c r="O863" s="38"/>
      <c r="P863" s="30"/>
      <c r="Q863" s="35"/>
      <c r="R863" s="31"/>
      <c r="S863" s="31"/>
      <c r="T863" s="31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F863" s="31"/>
      <c r="AG863" s="31"/>
      <c r="AH863" s="31"/>
      <c r="AI863" s="31"/>
      <c r="AJ863" s="31"/>
    </row>
    <row r="864" customFormat="false" ht="14.25" hidden="false" customHeight="true" outlineLevel="0" collapsed="false">
      <c r="A864" s="116"/>
      <c r="B864" s="19"/>
      <c r="C864" s="19"/>
      <c r="D864" s="36"/>
      <c r="E864" s="19"/>
      <c r="F864" s="37"/>
      <c r="G864" s="38"/>
      <c r="H864" s="38"/>
      <c r="I864" s="38"/>
      <c r="J864" s="38"/>
      <c r="K864" s="38"/>
      <c r="L864" s="38"/>
      <c r="M864" s="38"/>
      <c r="N864" s="39"/>
      <c r="O864" s="38"/>
      <c r="P864" s="30"/>
      <c r="Q864" s="35"/>
      <c r="R864" s="31"/>
      <c r="S864" s="31"/>
      <c r="T864" s="31"/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F864" s="31"/>
      <c r="AG864" s="31"/>
      <c r="AH864" s="31"/>
      <c r="AI864" s="31"/>
      <c r="AJ864" s="31"/>
    </row>
    <row r="865" customFormat="false" ht="14.25" hidden="false" customHeight="true" outlineLevel="0" collapsed="false">
      <c r="A865" s="116"/>
      <c r="B865" s="19"/>
      <c r="C865" s="19"/>
      <c r="D865" s="36"/>
      <c r="E865" s="19"/>
      <c r="F865" s="37"/>
      <c r="G865" s="38"/>
      <c r="H865" s="38"/>
      <c r="I865" s="38"/>
      <c r="J865" s="38"/>
      <c r="K865" s="38"/>
      <c r="L865" s="38"/>
      <c r="M865" s="38"/>
      <c r="N865" s="39"/>
      <c r="O865" s="38"/>
      <c r="P865" s="30"/>
      <c r="Q865" s="35"/>
      <c r="R865" s="31"/>
      <c r="S865" s="31"/>
      <c r="T865" s="31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F865" s="31"/>
      <c r="AG865" s="31"/>
      <c r="AH865" s="31"/>
      <c r="AI865" s="31"/>
      <c r="AJ865" s="31"/>
    </row>
    <row r="866" customFormat="false" ht="14.25" hidden="false" customHeight="true" outlineLevel="0" collapsed="false">
      <c r="A866" s="116"/>
      <c r="B866" s="19"/>
      <c r="C866" s="19"/>
      <c r="D866" s="36"/>
      <c r="E866" s="19"/>
      <c r="F866" s="37"/>
      <c r="G866" s="38"/>
      <c r="H866" s="38"/>
      <c r="I866" s="38"/>
      <c r="J866" s="38"/>
      <c r="K866" s="38"/>
      <c r="L866" s="38"/>
      <c r="M866" s="38"/>
      <c r="N866" s="39"/>
      <c r="O866" s="38"/>
      <c r="P866" s="30"/>
      <c r="Q866" s="35"/>
      <c r="R866" s="31"/>
      <c r="S866" s="31"/>
      <c r="T866" s="31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F866" s="31"/>
      <c r="AG866" s="31"/>
      <c r="AH866" s="31"/>
      <c r="AI866" s="31"/>
      <c r="AJ866" s="31"/>
    </row>
    <row r="867" customFormat="false" ht="14.25" hidden="false" customHeight="true" outlineLevel="0" collapsed="false">
      <c r="A867" s="116"/>
      <c r="B867" s="19"/>
      <c r="C867" s="19"/>
      <c r="D867" s="36"/>
      <c r="E867" s="19"/>
      <c r="F867" s="37"/>
      <c r="G867" s="38"/>
      <c r="H867" s="38"/>
      <c r="I867" s="38"/>
      <c r="J867" s="38"/>
      <c r="K867" s="38"/>
      <c r="L867" s="38"/>
      <c r="M867" s="38"/>
      <c r="N867" s="39"/>
      <c r="O867" s="38"/>
      <c r="P867" s="30"/>
      <c r="Q867" s="35"/>
      <c r="R867" s="31"/>
      <c r="S867" s="31"/>
      <c r="T867" s="31"/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F867" s="31"/>
      <c r="AG867" s="31"/>
      <c r="AH867" s="31"/>
      <c r="AI867" s="31"/>
      <c r="AJ867" s="31"/>
    </row>
    <row r="868" customFormat="false" ht="14.25" hidden="false" customHeight="true" outlineLevel="0" collapsed="false">
      <c r="A868" s="116"/>
      <c r="B868" s="19"/>
      <c r="C868" s="19"/>
      <c r="D868" s="36"/>
      <c r="E868" s="19"/>
      <c r="F868" s="37"/>
      <c r="G868" s="38"/>
      <c r="H868" s="38"/>
      <c r="I868" s="38"/>
      <c r="J868" s="38"/>
      <c r="K868" s="38"/>
      <c r="L868" s="38"/>
      <c r="M868" s="38"/>
      <c r="N868" s="39"/>
      <c r="O868" s="38"/>
      <c r="P868" s="30"/>
      <c r="Q868" s="35"/>
      <c r="R868" s="31"/>
      <c r="S868" s="31"/>
      <c r="T868" s="31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F868" s="31"/>
      <c r="AG868" s="31"/>
      <c r="AH868" s="31"/>
      <c r="AI868" s="31"/>
      <c r="AJ868" s="31"/>
    </row>
    <row r="869" customFormat="false" ht="14.25" hidden="false" customHeight="true" outlineLevel="0" collapsed="false">
      <c r="A869" s="116"/>
      <c r="B869" s="19"/>
      <c r="C869" s="19"/>
      <c r="D869" s="36"/>
      <c r="E869" s="19"/>
      <c r="F869" s="37"/>
      <c r="G869" s="38"/>
      <c r="H869" s="38"/>
      <c r="I869" s="38"/>
      <c r="J869" s="38"/>
      <c r="K869" s="38"/>
      <c r="L869" s="38"/>
      <c r="M869" s="38"/>
      <c r="N869" s="39"/>
      <c r="O869" s="38"/>
      <c r="P869" s="30"/>
      <c r="Q869" s="35"/>
      <c r="R869" s="31"/>
      <c r="S869" s="31"/>
      <c r="T869" s="31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F869" s="31"/>
      <c r="AG869" s="31"/>
      <c r="AH869" s="31"/>
      <c r="AI869" s="31"/>
      <c r="AJ869" s="31"/>
    </row>
    <row r="870" customFormat="false" ht="14.25" hidden="false" customHeight="true" outlineLevel="0" collapsed="false">
      <c r="A870" s="116"/>
      <c r="B870" s="19"/>
      <c r="C870" s="19"/>
      <c r="D870" s="36"/>
      <c r="E870" s="19"/>
      <c r="F870" s="37"/>
      <c r="G870" s="38"/>
      <c r="H870" s="38"/>
      <c r="I870" s="38"/>
      <c r="J870" s="38"/>
      <c r="K870" s="38"/>
      <c r="L870" s="38"/>
      <c r="M870" s="38"/>
      <c r="N870" s="39"/>
      <c r="O870" s="38"/>
      <c r="P870" s="30"/>
      <c r="Q870" s="35"/>
      <c r="R870" s="31"/>
      <c r="S870" s="31"/>
      <c r="T870" s="31"/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F870" s="31"/>
      <c r="AG870" s="31"/>
      <c r="AH870" s="31"/>
      <c r="AI870" s="31"/>
      <c r="AJ870" s="31"/>
    </row>
    <row r="871" customFormat="false" ht="14.25" hidden="false" customHeight="true" outlineLevel="0" collapsed="false">
      <c r="A871" s="116"/>
      <c r="B871" s="19"/>
      <c r="C871" s="19"/>
      <c r="D871" s="36"/>
      <c r="E871" s="19"/>
      <c r="F871" s="37"/>
      <c r="G871" s="38"/>
      <c r="H871" s="38"/>
      <c r="I871" s="38"/>
      <c r="J871" s="38"/>
      <c r="K871" s="38"/>
      <c r="L871" s="38"/>
      <c r="M871" s="38"/>
      <c r="N871" s="39"/>
      <c r="O871" s="38"/>
      <c r="P871" s="30"/>
      <c r="Q871" s="35"/>
      <c r="R871" s="31"/>
      <c r="S871" s="31"/>
      <c r="T871" s="31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F871" s="31"/>
      <c r="AG871" s="31"/>
      <c r="AH871" s="31"/>
      <c r="AI871" s="31"/>
      <c r="AJ871" s="31"/>
    </row>
    <row r="872" customFormat="false" ht="14.25" hidden="false" customHeight="true" outlineLevel="0" collapsed="false">
      <c r="A872" s="116"/>
      <c r="B872" s="19"/>
      <c r="C872" s="19"/>
      <c r="D872" s="36"/>
      <c r="E872" s="19"/>
      <c r="F872" s="37"/>
      <c r="G872" s="38"/>
      <c r="H872" s="38"/>
      <c r="I872" s="38"/>
      <c r="J872" s="38"/>
      <c r="K872" s="38"/>
      <c r="L872" s="38"/>
      <c r="M872" s="38"/>
      <c r="N872" s="39"/>
      <c r="O872" s="38"/>
      <c r="P872" s="30"/>
      <c r="Q872" s="35"/>
      <c r="R872" s="31"/>
      <c r="S872" s="31"/>
      <c r="T872" s="31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F872" s="31"/>
      <c r="AG872" s="31"/>
      <c r="AH872" s="31"/>
      <c r="AI872" s="31"/>
      <c r="AJ872" s="31"/>
    </row>
    <row r="873" customFormat="false" ht="14.25" hidden="false" customHeight="true" outlineLevel="0" collapsed="false">
      <c r="A873" s="116"/>
      <c r="B873" s="19"/>
      <c r="C873" s="19"/>
      <c r="D873" s="36"/>
      <c r="E873" s="19"/>
      <c r="F873" s="37"/>
      <c r="G873" s="38"/>
      <c r="H873" s="38"/>
      <c r="I873" s="38"/>
      <c r="J873" s="38"/>
      <c r="K873" s="38"/>
      <c r="L873" s="38"/>
      <c r="M873" s="38"/>
      <c r="N873" s="39"/>
      <c r="O873" s="38"/>
      <c r="P873" s="30"/>
      <c r="Q873" s="35"/>
      <c r="R873" s="31"/>
      <c r="S873" s="31"/>
      <c r="T873" s="31"/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F873" s="31"/>
      <c r="AG873" s="31"/>
      <c r="AH873" s="31"/>
      <c r="AI873" s="31"/>
      <c r="AJ873" s="31"/>
    </row>
    <row r="874" customFormat="false" ht="14.25" hidden="false" customHeight="true" outlineLevel="0" collapsed="false">
      <c r="A874" s="116"/>
      <c r="B874" s="19"/>
      <c r="C874" s="19"/>
      <c r="D874" s="36"/>
      <c r="E874" s="19"/>
      <c r="F874" s="37"/>
      <c r="G874" s="38"/>
      <c r="H874" s="38"/>
      <c r="I874" s="38"/>
      <c r="J874" s="38"/>
      <c r="K874" s="38"/>
      <c r="L874" s="38"/>
      <c r="M874" s="38"/>
      <c r="N874" s="39"/>
      <c r="O874" s="38"/>
      <c r="P874" s="30"/>
      <c r="Q874" s="35"/>
      <c r="R874" s="31"/>
      <c r="S874" s="31"/>
      <c r="T874" s="31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F874" s="31"/>
      <c r="AG874" s="31"/>
      <c r="AH874" s="31"/>
      <c r="AI874" s="31"/>
      <c r="AJ874" s="31"/>
    </row>
    <row r="875" customFormat="false" ht="14.25" hidden="false" customHeight="true" outlineLevel="0" collapsed="false">
      <c r="A875" s="116"/>
      <c r="B875" s="19"/>
      <c r="C875" s="19"/>
      <c r="D875" s="36"/>
      <c r="E875" s="19"/>
      <c r="F875" s="37"/>
      <c r="G875" s="38"/>
      <c r="H875" s="38"/>
      <c r="I875" s="38"/>
      <c r="J875" s="38"/>
      <c r="K875" s="38"/>
      <c r="L875" s="38"/>
      <c r="M875" s="38"/>
      <c r="N875" s="39"/>
      <c r="O875" s="38"/>
      <c r="P875" s="30"/>
      <c r="Q875" s="35"/>
      <c r="R875" s="31"/>
      <c r="S875" s="31"/>
      <c r="T875" s="31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F875" s="31"/>
      <c r="AG875" s="31"/>
      <c r="AH875" s="31"/>
      <c r="AI875" s="31"/>
      <c r="AJ875" s="31"/>
    </row>
    <row r="876" customFormat="false" ht="14.25" hidden="false" customHeight="true" outlineLevel="0" collapsed="false">
      <c r="A876" s="116"/>
      <c r="B876" s="19"/>
      <c r="C876" s="19"/>
      <c r="D876" s="36"/>
      <c r="E876" s="19"/>
      <c r="F876" s="37"/>
      <c r="G876" s="38"/>
      <c r="H876" s="38"/>
      <c r="I876" s="38"/>
      <c r="J876" s="38"/>
      <c r="K876" s="38"/>
      <c r="L876" s="38"/>
      <c r="M876" s="38"/>
      <c r="N876" s="39"/>
      <c r="O876" s="38"/>
      <c r="P876" s="30"/>
      <c r="Q876" s="35"/>
      <c r="R876" s="31"/>
      <c r="S876" s="31"/>
      <c r="T876" s="31"/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F876" s="31"/>
      <c r="AG876" s="31"/>
      <c r="AH876" s="31"/>
      <c r="AI876" s="31"/>
      <c r="AJ876" s="31"/>
    </row>
    <row r="877" customFormat="false" ht="14.25" hidden="false" customHeight="true" outlineLevel="0" collapsed="false">
      <c r="A877" s="116"/>
      <c r="B877" s="19"/>
      <c r="C877" s="19"/>
      <c r="D877" s="36"/>
      <c r="E877" s="19"/>
      <c r="F877" s="37"/>
      <c r="G877" s="38"/>
      <c r="H877" s="38"/>
      <c r="I877" s="38"/>
      <c r="J877" s="38"/>
      <c r="K877" s="38"/>
      <c r="L877" s="38"/>
      <c r="M877" s="38"/>
      <c r="N877" s="39"/>
      <c r="O877" s="38"/>
      <c r="P877" s="30"/>
      <c r="Q877" s="35"/>
      <c r="R877" s="31"/>
      <c r="S877" s="31"/>
      <c r="T877" s="31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F877" s="31"/>
      <c r="AG877" s="31"/>
      <c r="AH877" s="31"/>
      <c r="AI877" s="31"/>
      <c r="AJ877" s="31"/>
    </row>
    <row r="878" customFormat="false" ht="14.25" hidden="false" customHeight="true" outlineLevel="0" collapsed="false">
      <c r="A878" s="116"/>
      <c r="B878" s="19"/>
      <c r="C878" s="19"/>
      <c r="D878" s="36"/>
      <c r="E878" s="19"/>
      <c r="F878" s="37"/>
      <c r="G878" s="38"/>
      <c r="H878" s="38"/>
      <c r="I878" s="38"/>
      <c r="J878" s="38"/>
      <c r="K878" s="38"/>
      <c r="L878" s="38"/>
      <c r="M878" s="38"/>
      <c r="N878" s="39"/>
      <c r="O878" s="38"/>
      <c r="P878" s="30"/>
      <c r="Q878" s="35"/>
      <c r="R878" s="31"/>
      <c r="S878" s="31"/>
      <c r="T878" s="31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F878" s="31"/>
      <c r="AG878" s="31"/>
      <c r="AH878" s="31"/>
      <c r="AI878" s="31"/>
      <c r="AJ878" s="31"/>
    </row>
    <row r="879" customFormat="false" ht="14.25" hidden="false" customHeight="true" outlineLevel="0" collapsed="false">
      <c r="A879" s="116"/>
      <c r="B879" s="19"/>
      <c r="C879" s="19"/>
      <c r="D879" s="36"/>
      <c r="E879" s="19"/>
      <c r="F879" s="37"/>
      <c r="G879" s="38"/>
      <c r="H879" s="38"/>
      <c r="I879" s="38"/>
      <c r="J879" s="38"/>
      <c r="K879" s="38"/>
      <c r="L879" s="38"/>
      <c r="M879" s="38"/>
      <c r="N879" s="39"/>
      <c r="O879" s="38"/>
      <c r="P879" s="30"/>
      <c r="Q879" s="35"/>
      <c r="R879" s="31"/>
      <c r="S879" s="31"/>
      <c r="T879" s="31"/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F879" s="31"/>
      <c r="AG879" s="31"/>
      <c r="AH879" s="31"/>
      <c r="AI879" s="31"/>
      <c r="AJ879" s="31"/>
    </row>
    <row r="880" customFormat="false" ht="14.25" hidden="false" customHeight="true" outlineLevel="0" collapsed="false">
      <c r="A880" s="116"/>
      <c r="B880" s="19"/>
      <c r="C880" s="19"/>
      <c r="D880" s="36"/>
      <c r="E880" s="19"/>
      <c r="F880" s="37"/>
      <c r="G880" s="38"/>
      <c r="H880" s="38"/>
      <c r="I880" s="38"/>
      <c r="J880" s="38"/>
      <c r="K880" s="38"/>
      <c r="L880" s="38"/>
      <c r="M880" s="38"/>
      <c r="N880" s="39"/>
      <c r="O880" s="38"/>
      <c r="P880" s="30"/>
      <c r="Q880" s="35"/>
      <c r="R880" s="31"/>
      <c r="S880" s="31"/>
      <c r="T880" s="31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F880" s="31"/>
      <c r="AG880" s="31"/>
      <c r="AH880" s="31"/>
      <c r="AI880" s="31"/>
      <c r="AJ880" s="31"/>
    </row>
    <row r="881" customFormat="false" ht="14.25" hidden="false" customHeight="true" outlineLevel="0" collapsed="false">
      <c r="A881" s="116"/>
      <c r="B881" s="19"/>
      <c r="C881" s="19"/>
      <c r="D881" s="36"/>
      <c r="E881" s="19"/>
      <c r="F881" s="37"/>
      <c r="G881" s="38"/>
      <c r="H881" s="38"/>
      <c r="I881" s="38"/>
      <c r="J881" s="38"/>
      <c r="K881" s="38"/>
      <c r="L881" s="38"/>
      <c r="M881" s="38"/>
      <c r="N881" s="39"/>
      <c r="O881" s="38"/>
      <c r="P881" s="30"/>
      <c r="Q881" s="35"/>
      <c r="R881" s="31"/>
      <c r="S881" s="31"/>
      <c r="T881" s="31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F881" s="31"/>
      <c r="AG881" s="31"/>
      <c r="AH881" s="31"/>
      <c r="AI881" s="31"/>
      <c r="AJ881" s="31"/>
    </row>
    <row r="882" customFormat="false" ht="14.25" hidden="false" customHeight="true" outlineLevel="0" collapsed="false">
      <c r="A882" s="116"/>
      <c r="B882" s="19"/>
      <c r="C882" s="19"/>
      <c r="D882" s="36"/>
      <c r="E882" s="19"/>
      <c r="F882" s="37"/>
      <c r="G882" s="38"/>
      <c r="H882" s="38"/>
      <c r="I882" s="38"/>
      <c r="J882" s="38"/>
      <c r="K882" s="38"/>
      <c r="L882" s="38"/>
      <c r="M882" s="38"/>
      <c r="N882" s="39"/>
      <c r="O882" s="38"/>
      <c r="P882" s="30"/>
      <c r="Q882" s="35"/>
      <c r="R882" s="31"/>
      <c r="S882" s="31"/>
      <c r="T882" s="31"/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F882" s="31"/>
      <c r="AG882" s="31"/>
      <c r="AH882" s="31"/>
      <c r="AI882" s="31"/>
      <c r="AJ882" s="31"/>
    </row>
    <row r="883" customFormat="false" ht="14.25" hidden="false" customHeight="true" outlineLevel="0" collapsed="false">
      <c r="A883" s="116"/>
      <c r="B883" s="19"/>
      <c r="C883" s="19"/>
      <c r="D883" s="36"/>
      <c r="E883" s="19"/>
      <c r="F883" s="37"/>
      <c r="G883" s="38"/>
      <c r="H883" s="38"/>
      <c r="I883" s="38"/>
      <c r="J883" s="38"/>
      <c r="K883" s="38"/>
      <c r="L883" s="38"/>
      <c r="M883" s="38"/>
      <c r="N883" s="39"/>
      <c r="O883" s="38"/>
      <c r="P883" s="30"/>
      <c r="Q883" s="35"/>
      <c r="R883" s="31"/>
      <c r="S883" s="31"/>
      <c r="T883" s="31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F883" s="31"/>
      <c r="AG883" s="31"/>
      <c r="AH883" s="31"/>
      <c r="AI883" s="31"/>
      <c r="AJ883" s="31"/>
    </row>
    <row r="884" customFormat="false" ht="14.25" hidden="false" customHeight="true" outlineLevel="0" collapsed="false">
      <c r="A884" s="116"/>
      <c r="B884" s="19"/>
      <c r="C884" s="19"/>
      <c r="D884" s="36"/>
      <c r="E884" s="19"/>
      <c r="F884" s="37"/>
      <c r="G884" s="38"/>
      <c r="H884" s="38"/>
      <c r="I884" s="38"/>
      <c r="J884" s="38"/>
      <c r="K884" s="38"/>
      <c r="L884" s="38"/>
      <c r="M884" s="38"/>
      <c r="N884" s="39"/>
      <c r="O884" s="38"/>
      <c r="P884" s="30"/>
      <c r="Q884" s="35"/>
      <c r="R884" s="31"/>
      <c r="S884" s="31"/>
      <c r="T884" s="31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F884" s="31"/>
      <c r="AG884" s="31"/>
      <c r="AH884" s="31"/>
      <c r="AI884" s="31"/>
      <c r="AJ884" s="31"/>
    </row>
    <row r="885" customFormat="false" ht="14.25" hidden="false" customHeight="true" outlineLevel="0" collapsed="false">
      <c r="A885" s="116"/>
      <c r="B885" s="19"/>
      <c r="C885" s="19"/>
      <c r="D885" s="36"/>
      <c r="E885" s="19"/>
      <c r="F885" s="37"/>
      <c r="G885" s="38"/>
      <c r="H885" s="38"/>
      <c r="I885" s="38"/>
      <c r="J885" s="38"/>
      <c r="K885" s="38"/>
      <c r="L885" s="38"/>
      <c r="M885" s="38"/>
      <c r="N885" s="39"/>
      <c r="O885" s="38"/>
      <c r="P885" s="30"/>
      <c r="Q885" s="35"/>
      <c r="R885" s="31"/>
      <c r="S885" s="31"/>
      <c r="T885" s="31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F885" s="31"/>
      <c r="AG885" s="31"/>
      <c r="AH885" s="31"/>
      <c r="AI885" s="31"/>
      <c r="AJ885" s="31"/>
    </row>
    <row r="886" customFormat="false" ht="14.25" hidden="false" customHeight="true" outlineLevel="0" collapsed="false">
      <c r="A886" s="116"/>
      <c r="B886" s="19"/>
      <c r="C886" s="19"/>
      <c r="D886" s="36"/>
      <c r="E886" s="19"/>
      <c r="F886" s="37"/>
      <c r="G886" s="38"/>
      <c r="H886" s="38"/>
      <c r="I886" s="38"/>
      <c r="J886" s="38"/>
      <c r="K886" s="38"/>
      <c r="L886" s="38"/>
      <c r="M886" s="38"/>
      <c r="N886" s="39"/>
      <c r="O886" s="38"/>
      <c r="P886" s="30"/>
      <c r="Q886" s="35"/>
      <c r="R886" s="31"/>
      <c r="S886" s="31"/>
      <c r="T886" s="31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F886" s="31"/>
      <c r="AG886" s="31"/>
      <c r="AH886" s="31"/>
      <c r="AI886" s="31"/>
      <c r="AJ886" s="31"/>
    </row>
    <row r="887" customFormat="false" ht="14.25" hidden="false" customHeight="true" outlineLevel="0" collapsed="false">
      <c r="A887" s="116"/>
      <c r="B887" s="19"/>
      <c r="C887" s="19"/>
      <c r="D887" s="36"/>
      <c r="E887" s="19"/>
      <c r="F887" s="37"/>
      <c r="G887" s="38"/>
      <c r="H887" s="38"/>
      <c r="I887" s="38"/>
      <c r="J887" s="38"/>
      <c r="K887" s="38"/>
      <c r="L887" s="38"/>
      <c r="M887" s="38"/>
      <c r="N887" s="39"/>
      <c r="O887" s="38"/>
      <c r="P887" s="30"/>
      <c r="Q887" s="35"/>
      <c r="R887" s="31"/>
      <c r="S887" s="31"/>
      <c r="T887" s="31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F887" s="31"/>
      <c r="AG887" s="31"/>
      <c r="AH887" s="31"/>
      <c r="AI887" s="31"/>
      <c r="AJ887" s="31"/>
    </row>
    <row r="888" customFormat="false" ht="14.25" hidden="false" customHeight="true" outlineLevel="0" collapsed="false">
      <c r="A888" s="116"/>
      <c r="B888" s="19"/>
      <c r="C888" s="19"/>
      <c r="D888" s="36"/>
      <c r="E888" s="19"/>
      <c r="F888" s="37"/>
      <c r="G888" s="38"/>
      <c r="H888" s="38"/>
      <c r="I888" s="38"/>
      <c r="J888" s="38"/>
      <c r="K888" s="38"/>
      <c r="L888" s="38"/>
      <c r="M888" s="38"/>
      <c r="N888" s="39"/>
      <c r="O888" s="38"/>
      <c r="P888" s="30"/>
      <c r="Q888" s="35"/>
      <c r="R888" s="31"/>
      <c r="S888" s="31"/>
      <c r="T888" s="31"/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F888" s="31"/>
      <c r="AG888" s="31"/>
      <c r="AH888" s="31"/>
      <c r="AI888" s="31"/>
      <c r="AJ888" s="31"/>
    </row>
    <row r="889" customFormat="false" ht="14.25" hidden="false" customHeight="true" outlineLevel="0" collapsed="false">
      <c r="A889" s="116"/>
      <c r="B889" s="19"/>
      <c r="C889" s="19"/>
      <c r="D889" s="36"/>
      <c r="E889" s="19"/>
      <c r="F889" s="37"/>
      <c r="G889" s="38"/>
      <c r="H889" s="38"/>
      <c r="I889" s="38"/>
      <c r="J889" s="38"/>
      <c r="K889" s="38"/>
      <c r="L889" s="38"/>
      <c r="M889" s="38"/>
      <c r="N889" s="39"/>
      <c r="O889" s="38"/>
      <c r="P889" s="30"/>
      <c r="Q889" s="35"/>
      <c r="R889" s="31"/>
      <c r="S889" s="31"/>
      <c r="T889" s="31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F889" s="31"/>
      <c r="AG889" s="31"/>
      <c r="AH889" s="31"/>
      <c r="AI889" s="31"/>
      <c r="AJ889" s="31"/>
    </row>
    <row r="890" customFormat="false" ht="14.25" hidden="false" customHeight="true" outlineLevel="0" collapsed="false">
      <c r="A890" s="116"/>
      <c r="B890" s="19"/>
      <c r="C890" s="19"/>
      <c r="D890" s="36"/>
      <c r="E890" s="19"/>
      <c r="F890" s="37"/>
      <c r="G890" s="38"/>
      <c r="H890" s="38"/>
      <c r="I890" s="38"/>
      <c r="J890" s="38"/>
      <c r="K890" s="38"/>
      <c r="L890" s="38"/>
      <c r="M890" s="38"/>
      <c r="N890" s="39"/>
      <c r="O890" s="38"/>
      <c r="P890" s="30"/>
      <c r="Q890" s="35"/>
      <c r="R890" s="31"/>
      <c r="S890" s="31"/>
      <c r="T890" s="31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F890" s="31"/>
      <c r="AG890" s="31"/>
      <c r="AH890" s="31"/>
      <c r="AI890" s="31"/>
      <c r="AJ890" s="31"/>
    </row>
    <row r="891" customFormat="false" ht="14.25" hidden="false" customHeight="true" outlineLevel="0" collapsed="false">
      <c r="A891" s="116"/>
      <c r="B891" s="19"/>
      <c r="C891" s="19"/>
      <c r="D891" s="36"/>
      <c r="E891" s="19"/>
      <c r="F891" s="37"/>
      <c r="G891" s="38"/>
      <c r="H891" s="38"/>
      <c r="I891" s="38"/>
      <c r="J891" s="38"/>
      <c r="K891" s="38"/>
      <c r="L891" s="38"/>
      <c r="M891" s="38"/>
      <c r="N891" s="39"/>
      <c r="O891" s="38"/>
      <c r="P891" s="30"/>
      <c r="Q891" s="35"/>
      <c r="R891" s="31"/>
      <c r="S891" s="31"/>
      <c r="T891" s="31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F891" s="31"/>
      <c r="AG891" s="31"/>
      <c r="AH891" s="31"/>
      <c r="AI891" s="31"/>
      <c r="AJ891" s="31"/>
    </row>
    <row r="892" customFormat="false" ht="14.25" hidden="false" customHeight="true" outlineLevel="0" collapsed="false">
      <c r="A892" s="116"/>
      <c r="B892" s="19"/>
      <c r="C892" s="19"/>
      <c r="D892" s="36"/>
      <c r="E892" s="19"/>
      <c r="F892" s="37"/>
      <c r="G892" s="38"/>
      <c r="H892" s="38"/>
      <c r="I892" s="38"/>
      <c r="J892" s="38"/>
      <c r="K892" s="38"/>
      <c r="L892" s="38"/>
      <c r="M892" s="38"/>
      <c r="N892" s="39"/>
      <c r="O892" s="38"/>
      <c r="P892" s="30"/>
      <c r="Q892" s="35"/>
      <c r="R892" s="31"/>
      <c r="S892" s="31"/>
      <c r="T892" s="31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F892" s="31"/>
      <c r="AG892" s="31"/>
      <c r="AH892" s="31"/>
      <c r="AI892" s="31"/>
      <c r="AJ892" s="31"/>
    </row>
    <row r="893" customFormat="false" ht="14.25" hidden="false" customHeight="true" outlineLevel="0" collapsed="false">
      <c r="A893" s="116"/>
      <c r="B893" s="19"/>
      <c r="C893" s="19"/>
      <c r="D893" s="36"/>
      <c r="E893" s="19"/>
      <c r="F893" s="37"/>
      <c r="G893" s="38"/>
      <c r="H893" s="38"/>
      <c r="I893" s="38"/>
      <c r="J893" s="38"/>
      <c r="K893" s="38"/>
      <c r="L893" s="38"/>
      <c r="M893" s="38"/>
      <c r="N893" s="39"/>
      <c r="O893" s="38"/>
      <c r="P893" s="30"/>
      <c r="Q893" s="35"/>
      <c r="R893" s="31"/>
      <c r="S893" s="31"/>
      <c r="T893" s="31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F893" s="31"/>
      <c r="AG893" s="31"/>
      <c r="AH893" s="31"/>
      <c r="AI893" s="31"/>
      <c r="AJ893" s="31"/>
    </row>
    <row r="894" customFormat="false" ht="14.25" hidden="false" customHeight="true" outlineLevel="0" collapsed="false">
      <c r="A894" s="116"/>
      <c r="B894" s="19"/>
      <c r="C894" s="19"/>
      <c r="D894" s="36"/>
      <c r="E894" s="19"/>
      <c r="F894" s="37"/>
      <c r="G894" s="38"/>
      <c r="H894" s="38"/>
      <c r="I894" s="38"/>
      <c r="J894" s="38"/>
      <c r="K894" s="38"/>
      <c r="L894" s="38"/>
      <c r="M894" s="38"/>
      <c r="N894" s="39"/>
      <c r="O894" s="38"/>
      <c r="P894" s="30"/>
      <c r="Q894" s="35"/>
      <c r="R894" s="31"/>
      <c r="S894" s="31"/>
      <c r="T894" s="31"/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F894" s="31"/>
      <c r="AG894" s="31"/>
      <c r="AH894" s="31"/>
      <c r="AI894" s="31"/>
      <c r="AJ894" s="31"/>
    </row>
    <row r="895" customFormat="false" ht="14.25" hidden="false" customHeight="true" outlineLevel="0" collapsed="false">
      <c r="A895" s="116"/>
      <c r="B895" s="19"/>
      <c r="C895" s="19"/>
      <c r="D895" s="36"/>
      <c r="E895" s="19"/>
      <c r="F895" s="37"/>
      <c r="G895" s="38"/>
      <c r="H895" s="38"/>
      <c r="I895" s="38"/>
      <c r="J895" s="38"/>
      <c r="K895" s="38"/>
      <c r="L895" s="38"/>
      <c r="M895" s="38"/>
      <c r="N895" s="39"/>
      <c r="O895" s="38"/>
      <c r="P895" s="30"/>
      <c r="Q895" s="35"/>
      <c r="R895" s="31"/>
      <c r="S895" s="31"/>
      <c r="T895" s="31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F895" s="31"/>
      <c r="AG895" s="31"/>
      <c r="AH895" s="31"/>
      <c r="AI895" s="31"/>
      <c r="AJ895" s="31"/>
    </row>
    <row r="896" customFormat="false" ht="14.25" hidden="false" customHeight="true" outlineLevel="0" collapsed="false">
      <c r="A896" s="116"/>
      <c r="B896" s="19"/>
      <c r="C896" s="19"/>
      <c r="D896" s="36"/>
      <c r="E896" s="19"/>
      <c r="F896" s="37"/>
      <c r="G896" s="38"/>
      <c r="H896" s="38"/>
      <c r="I896" s="38"/>
      <c r="J896" s="38"/>
      <c r="K896" s="38"/>
      <c r="L896" s="38"/>
      <c r="M896" s="38"/>
      <c r="N896" s="39"/>
      <c r="O896" s="38"/>
      <c r="P896" s="30"/>
      <c r="Q896" s="35"/>
      <c r="R896" s="31"/>
      <c r="S896" s="31"/>
      <c r="T896" s="31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F896" s="31"/>
      <c r="AG896" s="31"/>
      <c r="AH896" s="31"/>
      <c r="AI896" s="31"/>
      <c r="AJ896" s="31"/>
    </row>
    <row r="897" customFormat="false" ht="14.25" hidden="false" customHeight="true" outlineLevel="0" collapsed="false">
      <c r="A897" s="116"/>
      <c r="B897" s="19"/>
      <c r="C897" s="19"/>
      <c r="D897" s="36"/>
      <c r="E897" s="19"/>
      <c r="F897" s="37"/>
      <c r="G897" s="38"/>
      <c r="H897" s="38"/>
      <c r="I897" s="38"/>
      <c r="J897" s="38"/>
      <c r="K897" s="38"/>
      <c r="L897" s="38"/>
      <c r="M897" s="38"/>
      <c r="N897" s="39"/>
      <c r="O897" s="38"/>
      <c r="P897" s="30"/>
      <c r="Q897" s="35"/>
      <c r="R897" s="31"/>
      <c r="S897" s="31"/>
      <c r="T897" s="31"/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F897" s="31"/>
      <c r="AG897" s="31"/>
      <c r="AH897" s="31"/>
      <c r="AI897" s="31"/>
      <c r="AJ897" s="31"/>
    </row>
    <row r="898" customFormat="false" ht="14.25" hidden="false" customHeight="true" outlineLevel="0" collapsed="false">
      <c r="A898" s="116"/>
      <c r="B898" s="19"/>
      <c r="C898" s="19"/>
      <c r="D898" s="36"/>
      <c r="E898" s="19"/>
      <c r="F898" s="37"/>
      <c r="G898" s="38"/>
      <c r="H898" s="38"/>
      <c r="I898" s="38"/>
      <c r="J898" s="38"/>
      <c r="K898" s="38"/>
      <c r="L898" s="38"/>
      <c r="M898" s="38"/>
      <c r="N898" s="39"/>
      <c r="O898" s="38"/>
      <c r="P898" s="30"/>
      <c r="Q898" s="35"/>
      <c r="R898" s="31"/>
      <c r="S898" s="31"/>
      <c r="T898" s="31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F898" s="31"/>
      <c r="AG898" s="31"/>
      <c r="AH898" s="31"/>
      <c r="AI898" s="31"/>
      <c r="AJ898" s="31"/>
    </row>
    <row r="899" customFormat="false" ht="14.25" hidden="false" customHeight="true" outlineLevel="0" collapsed="false">
      <c r="A899" s="116"/>
      <c r="B899" s="19"/>
      <c r="C899" s="19"/>
      <c r="D899" s="36"/>
      <c r="E899" s="19"/>
      <c r="F899" s="37"/>
      <c r="G899" s="38"/>
      <c r="H899" s="38"/>
      <c r="I899" s="38"/>
      <c r="J899" s="38"/>
      <c r="K899" s="38"/>
      <c r="L899" s="38"/>
      <c r="M899" s="38"/>
      <c r="N899" s="39"/>
      <c r="O899" s="38"/>
      <c r="P899" s="30"/>
      <c r="Q899" s="35"/>
      <c r="R899" s="31"/>
      <c r="S899" s="31"/>
      <c r="T899" s="31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F899" s="31"/>
      <c r="AG899" s="31"/>
      <c r="AH899" s="31"/>
      <c r="AI899" s="31"/>
      <c r="AJ899" s="31"/>
    </row>
    <row r="900" customFormat="false" ht="14.25" hidden="false" customHeight="true" outlineLevel="0" collapsed="false">
      <c r="A900" s="116"/>
      <c r="B900" s="19"/>
      <c r="C900" s="19"/>
      <c r="D900" s="36"/>
      <c r="E900" s="19"/>
      <c r="F900" s="37"/>
      <c r="G900" s="38"/>
      <c r="H900" s="38"/>
      <c r="I900" s="38"/>
      <c r="J900" s="38"/>
      <c r="K900" s="38"/>
      <c r="L900" s="38"/>
      <c r="M900" s="38"/>
      <c r="N900" s="39"/>
      <c r="O900" s="38"/>
      <c r="P900" s="30"/>
      <c r="Q900" s="35"/>
      <c r="R900" s="31"/>
      <c r="S900" s="31"/>
      <c r="T900" s="31"/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F900" s="31"/>
      <c r="AG900" s="31"/>
      <c r="AH900" s="31"/>
      <c r="AI900" s="31"/>
      <c r="AJ900" s="31"/>
    </row>
    <row r="901" customFormat="false" ht="14.25" hidden="false" customHeight="true" outlineLevel="0" collapsed="false">
      <c r="A901" s="116"/>
      <c r="B901" s="19"/>
      <c r="C901" s="19"/>
      <c r="D901" s="36"/>
      <c r="E901" s="19"/>
      <c r="F901" s="37"/>
      <c r="G901" s="38"/>
      <c r="H901" s="38"/>
      <c r="I901" s="38"/>
      <c r="J901" s="38"/>
      <c r="K901" s="38"/>
      <c r="L901" s="38"/>
      <c r="M901" s="38"/>
      <c r="N901" s="39"/>
      <c r="O901" s="38"/>
      <c r="P901" s="30"/>
      <c r="Q901" s="35"/>
      <c r="R901" s="31"/>
      <c r="S901" s="31"/>
      <c r="T901" s="31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F901" s="31"/>
      <c r="AG901" s="31"/>
      <c r="AH901" s="31"/>
      <c r="AI901" s="31"/>
      <c r="AJ901" s="31"/>
    </row>
    <row r="902" customFormat="false" ht="14.25" hidden="false" customHeight="true" outlineLevel="0" collapsed="false">
      <c r="A902" s="116"/>
      <c r="B902" s="19"/>
      <c r="C902" s="19"/>
      <c r="D902" s="36"/>
      <c r="E902" s="19"/>
      <c r="F902" s="37"/>
      <c r="G902" s="38"/>
      <c r="H902" s="38"/>
      <c r="I902" s="38"/>
      <c r="J902" s="38"/>
      <c r="K902" s="38"/>
      <c r="L902" s="38"/>
      <c r="M902" s="38"/>
      <c r="N902" s="39"/>
      <c r="O902" s="38"/>
      <c r="P902" s="30"/>
      <c r="Q902" s="35"/>
      <c r="R902" s="31"/>
      <c r="S902" s="31"/>
      <c r="T902" s="31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F902" s="31"/>
      <c r="AG902" s="31"/>
      <c r="AH902" s="31"/>
      <c r="AI902" s="31"/>
      <c r="AJ902" s="31"/>
    </row>
    <row r="903" customFormat="false" ht="14.25" hidden="false" customHeight="true" outlineLevel="0" collapsed="false">
      <c r="A903" s="116"/>
      <c r="B903" s="19"/>
      <c r="C903" s="19"/>
      <c r="D903" s="36"/>
      <c r="E903" s="19"/>
      <c r="F903" s="37"/>
      <c r="G903" s="38"/>
      <c r="H903" s="38"/>
      <c r="I903" s="38"/>
      <c r="J903" s="38"/>
      <c r="K903" s="38"/>
      <c r="L903" s="38"/>
      <c r="M903" s="38"/>
      <c r="N903" s="39"/>
      <c r="O903" s="38"/>
      <c r="P903" s="30"/>
      <c r="Q903" s="35"/>
      <c r="R903" s="31"/>
      <c r="S903" s="31"/>
      <c r="T903" s="31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F903" s="31"/>
      <c r="AG903" s="31"/>
      <c r="AH903" s="31"/>
      <c r="AI903" s="31"/>
      <c r="AJ903" s="31"/>
    </row>
    <row r="904" customFormat="false" ht="14.25" hidden="false" customHeight="true" outlineLevel="0" collapsed="false">
      <c r="A904" s="116"/>
      <c r="B904" s="19"/>
      <c r="C904" s="19"/>
      <c r="D904" s="36"/>
      <c r="E904" s="19"/>
      <c r="F904" s="37"/>
      <c r="G904" s="38"/>
      <c r="H904" s="38"/>
      <c r="I904" s="38"/>
      <c r="J904" s="38"/>
      <c r="K904" s="38"/>
      <c r="L904" s="38"/>
      <c r="M904" s="38"/>
      <c r="N904" s="39"/>
      <c r="O904" s="38"/>
      <c r="P904" s="30"/>
      <c r="Q904" s="35"/>
      <c r="R904" s="31"/>
      <c r="S904" s="31"/>
      <c r="T904" s="31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F904" s="31"/>
      <c r="AG904" s="31"/>
      <c r="AH904" s="31"/>
      <c r="AI904" s="31"/>
      <c r="AJ904" s="31"/>
    </row>
    <row r="905" customFormat="false" ht="14.25" hidden="false" customHeight="true" outlineLevel="0" collapsed="false">
      <c r="A905" s="116"/>
      <c r="B905" s="19"/>
      <c r="C905" s="19"/>
      <c r="D905" s="36"/>
      <c r="E905" s="19"/>
      <c r="F905" s="37"/>
      <c r="G905" s="38"/>
      <c r="H905" s="38"/>
      <c r="I905" s="38"/>
      <c r="J905" s="38"/>
      <c r="K905" s="38"/>
      <c r="L905" s="38"/>
      <c r="M905" s="38"/>
      <c r="N905" s="39"/>
      <c r="O905" s="38"/>
      <c r="P905" s="30"/>
      <c r="Q905" s="35"/>
      <c r="R905" s="31"/>
      <c r="S905" s="31"/>
      <c r="T905" s="31"/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F905" s="31"/>
      <c r="AG905" s="31"/>
      <c r="AH905" s="31"/>
      <c r="AI905" s="31"/>
      <c r="AJ905" s="31"/>
    </row>
    <row r="906" customFormat="false" ht="14.25" hidden="false" customHeight="true" outlineLevel="0" collapsed="false">
      <c r="A906" s="116"/>
      <c r="B906" s="19"/>
      <c r="C906" s="19"/>
      <c r="D906" s="36"/>
      <c r="E906" s="19"/>
      <c r="F906" s="37"/>
      <c r="G906" s="38"/>
      <c r="H906" s="38"/>
      <c r="I906" s="38"/>
      <c r="J906" s="38"/>
      <c r="K906" s="38"/>
      <c r="L906" s="38"/>
      <c r="M906" s="38"/>
      <c r="N906" s="39"/>
      <c r="O906" s="38"/>
      <c r="P906" s="30"/>
      <c r="Q906" s="35"/>
      <c r="R906" s="31"/>
      <c r="S906" s="31"/>
      <c r="T906" s="31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F906" s="31"/>
      <c r="AG906" s="31"/>
      <c r="AH906" s="31"/>
      <c r="AI906" s="31"/>
      <c r="AJ906" s="31"/>
    </row>
    <row r="907" customFormat="false" ht="14.25" hidden="false" customHeight="true" outlineLevel="0" collapsed="false">
      <c r="A907" s="116"/>
      <c r="B907" s="19"/>
      <c r="C907" s="19"/>
      <c r="D907" s="36"/>
      <c r="E907" s="19"/>
      <c r="F907" s="37"/>
      <c r="G907" s="38"/>
      <c r="H907" s="38"/>
      <c r="I907" s="38"/>
      <c r="J907" s="38"/>
      <c r="K907" s="38"/>
      <c r="L907" s="38"/>
      <c r="M907" s="38"/>
      <c r="N907" s="39"/>
      <c r="O907" s="38"/>
      <c r="P907" s="30"/>
      <c r="Q907" s="35"/>
      <c r="R907" s="31"/>
      <c r="S907" s="31"/>
      <c r="T907" s="31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F907" s="31"/>
      <c r="AG907" s="31"/>
      <c r="AH907" s="31"/>
      <c r="AI907" s="31"/>
      <c r="AJ907" s="31"/>
    </row>
    <row r="908" customFormat="false" ht="14.25" hidden="false" customHeight="true" outlineLevel="0" collapsed="false">
      <c r="A908" s="116"/>
      <c r="B908" s="19"/>
      <c r="C908" s="19"/>
      <c r="D908" s="36"/>
      <c r="E908" s="19"/>
      <c r="F908" s="37"/>
      <c r="G908" s="38"/>
      <c r="H908" s="38"/>
      <c r="I908" s="38"/>
      <c r="J908" s="38"/>
      <c r="K908" s="38"/>
      <c r="L908" s="38"/>
      <c r="M908" s="38"/>
      <c r="N908" s="39"/>
      <c r="O908" s="38"/>
      <c r="P908" s="30"/>
      <c r="Q908" s="35"/>
      <c r="R908" s="31"/>
      <c r="S908" s="31"/>
      <c r="T908" s="31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F908" s="31"/>
      <c r="AG908" s="31"/>
      <c r="AH908" s="31"/>
      <c r="AI908" s="31"/>
      <c r="AJ908" s="31"/>
    </row>
    <row r="909" customFormat="false" ht="14.25" hidden="false" customHeight="true" outlineLevel="0" collapsed="false">
      <c r="A909" s="116"/>
      <c r="B909" s="19"/>
      <c r="C909" s="19"/>
      <c r="D909" s="36"/>
      <c r="E909" s="19"/>
      <c r="F909" s="37"/>
      <c r="G909" s="38"/>
      <c r="H909" s="38"/>
      <c r="I909" s="38"/>
      <c r="J909" s="38"/>
      <c r="K909" s="38"/>
      <c r="L909" s="38"/>
      <c r="M909" s="38"/>
      <c r="N909" s="39"/>
      <c r="O909" s="38"/>
      <c r="P909" s="30"/>
      <c r="Q909" s="35"/>
      <c r="R909" s="31"/>
      <c r="S909" s="31"/>
      <c r="T909" s="31"/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F909" s="31"/>
      <c r="AG909" s="31"/>
      <c r="AH909" s="31"/>
      <c r="AI909" s="31"/>
      <c r="AJ909" s="31"/>
    </row>
    <row r="910" customFormat="false" ht="14.25" hidden="false" customHeight="true" outlineLevel="0" collapsed="false">
      <c r="A910" s="116"/>
      <c r="B910" s="19"/>
      <c r="C910" s="19"/>
      <c r="D910" s="36"/>
      <c r="E910" s="19"/>
      <c r="F910" s="37"/>
      <c r="G910" s="38"/>
      <c r="H910" s="38"/>
      <c r="I910" s="38"/>
      <c r="J910" s="38"/>
      <c r="K910" s="38"/>
      <c r="L910" s="38"/>
      <c r="M910" s="38"/>
      <c r="N910" s="39"/>
      <c r="O910" s="38"/>
      <c r="P910" s="30"/>
      <c r="Q910" s="35"/>
      <c r="R910" s="31"/>
      <c r="S910" s="31"/>
      <c r="T910" s="31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F910" s="31"/>
      <c r="AG910" s="31"/>
      <c r="AH910" s="31"/>
      <c r="AI910" s="31"/>
      <c r="AJ910" s="31"/>
    </row>
    <row r="911" customFormat="false" ht="14.25" hidden="false" customHeight="true" outlineLevel="0" collapsed="false">
      <c r="A911" s="116"/>
      <c r="B911" s="19"/>
      <c r="C911" s="19"/>
      <c r="D911" s="36"/>
      <c r="E911" s="19"/>
      <c r="F911" s="37"/>
      <c r="G911" s="38"/>
      <c r="H911" s="38"/>
      <c r="I911" s="38"/>
      <c r="J911" s="38"/>
      <c r="K911" s="38"/>
      <c r="L911" s="38"/>
      <c r="M911" s="38"/>
      <c r="N911" s="39"/>
      <c r="O911" s="38"/>
      <c r="P911" s="30"/>
      <c r="Q911" s="35"/>
      <c r="R911" s="31"/>
      <c r="S911" s="31"/>
      <c r="T911" s="31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F911" s="31"/>
      <c r="AG911" s="31"/>
      <c r="AH911" s="31"/>
      <c r="AI911" s="31"/>
      <c r="AJ911" s="31"/>
    </row>
    <row r="912" customFormat="false" ht="14.25" hidden="false" customHeight="true" outlineLevel="0" collapsed="false">
      <c r="A912" s="116"/>
      <c r="B912" s="19"/>
      <c r="C912" s="19"/>
      <c r="D912" s="36"/>
      <c r="E912" s="19"/>
      <c r="F912" s="37"/>
      <c r="G912" s="38"/>
      <c r="H912" s="38"/>
      <c r="I912" s="38"/>
      <c r="J912" s="38"/>
      <c r="K912" s="38"/>
      <c r="L912" s="38"/>
      <c r="M912" s="38"/>
      <c r="N912" s="39"/>
      <c r="O912" s="38"/>
      <c r="P912" s="30"/>
      <c r="Q912" s="35"/>
      <c r="R912" s="31"/>
      <c r="S912" s="31"/>
      <c r="T912" s="31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F912" s="31"/>
      <c r="AG912" s="31"/>
      <c r="AH912" s="31"/>
      <c r="AI912" s="31"/>
      <c r="AJ912" s="31"/>
    </row>
    <row r="913" customFormat="false" ht="14.25" hidden="false" customHeight="true" outlineLevel="0" collapsed="false">
      <c r="A913" s="116"/>
      <c r="B913" s="19"/>
      <c r="C913" s="19"/>
      <c r="D913" s="36"/>
      <c r="E913" s="19"/>
      <c r="F913" s="37"/>
      <c r="G913" s="38"/>
      <c r="H913" s="38"/>
      <c r="I913" s="38"/>
      <c r="J913" s="38"/>
      <c r="K913" s="38"/>
      <c r="L913" s="38"/>
      <c r="M913" s="38"/>
      <c r="N913" s="39"/>
      <c r="O913" s="38"/>
      <c r="P913" s="30"/>
      <c r="Q913" s="35"/>
      <c r="R913" s="31"/>
      <c r="S913" s="31"/>
      <c r="T913" s="31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F913" s="31"/>
      <c r="AG913" s="31"/>
      <c r="AH913" s="31"/>
      <c r="AI913" s="31"/>
      <c r="AJ913" s="31"/>
    </row>
    <row r="914" customFormat="false" ht="14.25" hidden="false" customHeight="true" outlineLevel="0" collapsed="false">
      <c r="A914" s="116"/>
      <c r="B914" s="19"/>
      <c r="C914" s="19"/>
      <c r="D914" s="36"/>
      <c r="E914" s="19"/>
      <c r="F914" s="37"/>
      <c r="G914" s="38"/>
      <c r="H914" s="38"/>
      <c r="I914" s="38"/>
      <c r="J914" s="38"/>
      <c r="K914" s="38"/>
      <c r="L914" s="38"/>
      <c r="M914" s="38"/>
      <c r="N914" s="39"/>
      <c r="O914" s="38"/>
      <c r="P914" s="30"/>
      <c r="Q914" s="35"/>
      <c r="R914" s="31"/>
      <c r="S914" s="31"/>
      <c r="T914" s="31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F914" s="31"/>
      <c r="AG914" s="31"/>
      <c r="AH914" s="31"/>
      <c r="AI914" s="31"/>
      <c r="AJ914" s="31"/>
    </row>
    <row r="915" customFormat="false" ht="14.25" hidden="false" customHeight="true" outlineLevel="0" collapsed="false">
      <c r="A915" s="116"/>
      <c r="B915" s="19"/>
      <c r="C915" s="19"/>
      <c r="D915" s="36"/>
      <c r="E915" s="19"/>
      <c r="F915" s="37"/>
      <c r="G915" s="38"/>
      <c r="H915" s="38"/>
      <c r="I915" s="38"/>
      <c r="J915" s="38"/>
      <c r="K915" s="38"/>
      <c r="L915" s="38"/>
      <c r="M915" s="38"/>
      <c r="N915" s="39"/>
      <c r="O915" s="38"/>
      <c r="P915" s="30"/>
      <c r="Q915" s="35"/>
      <c r="R915" s="31"/>
      <c r="S915" s="31"/>
      <c r="T915" s="31"/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F915" s="31"/>
      <c r="AG915" s="31"/>
      <c r="AH915" s="31"/>
      <c r="AI915" s="31"/>
      <c r="AJ915" s="31"/>
    </row>
    <row r="916" customFormat="false" ht="14.25" hidden="false" customHeight="true" outlineLevel="0" collapsed="false">
      <c r="A916" s="116"/>
      <c r="B916" s="19"/>
      <c r="C916" s="19"/>
      <c r="D916" s="36"/>
      <c r="E916" s="19"/>
      <c r="F916" s="37"/>
      <c r="G916" s="38"/>
      <c r="H916" s="38"/>
      <c r="I916" s="38"/>
      <c r="J916" s="38"/>
      <c r="K916" s="38"/>
      <c r="L916" s="38"/>
      <c r="M916" s="38"/>
      <c r="N916" s="39"/>
      <c r="O916" s="38"/>
      <c r="P916" s="30"/>
      <c r="Q916" s="35"/>
      <c r="R916" s="31"/>
      <c r="S916" s="31"/>
      <c r="T916" s="31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F916" s="31"/>
      <c r="AG916" s="31"/>
      <c r="AH916" s="31"/>
      <c r="AI916" s="31"/>
      <c r="AJ916" s="31"/>
    </row>
    <row r="917" customFormat="false" ht="14.25" hidden="false" customHeight="true" outlineLevel="0" collapsed="false">
      <c r="A917" s="116"/>
      <c r="B917" s="19"/>
      <c r="C917" s="19"/>
      <c r="D917" s="36"/>
      <c r="E917" s="19"/>
      <c r="F917" s="37"/>
      <c r="G917" s="38"/>
      <c r="H917" s="38"/>
      <c r="I917" s="38"/>
      <c r="J917" s="38"/>
      <c r="K917" s="38"/>
      <c r="L917" s="38"/>
      <c r="M917" s="38"/>
      <c r="N917" s="39"/>
      <c r="O917" s="38"/>
      <c r="P917" s="30"/>
      <c r="Q917" s="35"/>
      <c r="R917" s="31"/>
      <c r="S917" s="31"/>
      <c r="T917" s="31"/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F917" s="31"/>
      <c r="AG917" s="31"/>
      <c r="AH917" s="31"/>
      <c r="AI917" s="31"/>
      <c r="AJ917" s="31"/>
    </row>
    <row r="918" customFormat="false" ht="14.25" hidden="false" customHeight="true" outlineLevel="0" collapsed="false">
      <c r="A918" s="116"/>
      <c r="B918" s="19"/>
      <c r="C918" s="19"/>
      <c r="D918" s="36"/>
      <c r="E918" s="19"/>
      <c r="F918" s="37"/>
      <c r="G918" s="38"/>
      <c r="H918" s="38"/>
      <c r="I918" s="38"/>
      <c r="J918" s="38"/>
      <c r="K918" s="38"/>
      <c r="L918" s="38"/>
      <c r="M918" s="38"/>
      <c r="N918" s="39"/>
      <c r="O918" s="38"/>
      <c r="P918" s="30"/>
      <c r="Q918" s="35"/>
      <c r="R918" s="31"/>
      <c r="S918" s="31"/>
      <c r="T918" s="31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F918" s="31"/>
      <c r="AG918" s="31"/>
      <c r="AH918" s="31"/>
      <c r="AI918" s="31"/>
      <c r="AJ918" s="31"/>
    </row>
    <row r="919" customFormat="false" ht="14.25" hidden="false" customHeight="true" outlineLevel="0" collapsed="false">
      <c r="A919" s="116"/>
      <c r="B919" s="19"/>
      <c r="C919" s="19"/>
      <c r="D919" s="36"/>
      <c r="E919" s="19"/>
      <c r="F919" s="37"/>
      <c r="G919" s="38"/>
      <c r="H919" s="38"/>
      <c r="I919" s="38"/>
      <c r="J919" s="38"/>
      <c r="K919" s="38"/>
      <c r="L919" s="38"/>
      <c r="M919" s="38"/>
      <c r="N919" s="39"/>
      <c r="O919" s="38"/>
      <c r="P919" s="30"/>
      <c r="Q919" s="35"/>
      <c r="R919" s="31"/>
      <c r="S919" s="31"/>
      <c r="T919" s="31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F919" s="31"/>
      <c r="AG919" s="31"/>
      <c r="AH919" s="31"/>
      <c r="AI919" s="31"/>
      <c r="AJ919" s="31"/>
    </row>
    <row r="920" customFormat="false" ht="14.25" hidden="false" customHeight="true" outlineLevel="0" collapsed="false">
      <c r="A920" s="116"/>
      <c r="B920" s="19"/>
      <c r="C920" s="19"/>
      <c r="D920" s="36"/>
      <c r="E920" s="19"/>
      <c r="F920" s="37"/>
      <c r="G920" s="38"/>
      <c r="H920" s="38"/>
      <c r="I920" s="38"/>
      <c r="J920" s="38"/>
      <c r="K920" s="38"/>
      <c r="L920" s="38"/>
      <c r="M920" s="38"/>
      <c r="N920" s="39"/>
      <c r="O920" s="38"/>
      <c r="P920" s="30"/>
      <c r="Q920" s="35"/>
      <c r="R920" s="31"/>
      <c r="S920" s="31"/>
      <c r="T920" s="31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F920" s="31"/>
      <c r="AG920" s="31"/>
      <c r="AH920" s="31"/>
      <c r="AI920" s="31"/>
      <c r="AJ920" s="31"/>
    </row>
    <row r="921" customFormat="false" ht="14.25" hidden="false" customHeight="true" outlineLevel="0" collapsed="false">
      <c r="A921" s="116"/>
      <c r="B921" s="19"/>
      <c r="C921" s="19"/>
      <c r="D921" s="36"/>
      <c r="E921" s="19"/>
      <c r="F921" s="37"/>
      <c r="G921" s="38"/>
      <c r="H921" s="38"/>
      <c r="I921" s="38"/>
      <c r="J921" s="38"/>
      <c r="K921" s="38"/>
      <c r="L921" s="38"/>
      <c r="M921" s="38"/>
      <c r="N921" s="39"/>
      <c r="O921" s="38"/>
      <c r="P921" s="30"/>
      <c r="Q921" s="35"/>
      <c r="R921" s="31"/>
      <c r="S921" s="31"/>
      <c r="T921" s="31"/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F921" s="31"/>
      <c r="AG921" s="31"/>
      <c r="AH921" s="31"/>
      <c r="AI921" s="31"/>
      <c r="AJ921" s="31"/>
    </row>
    <row r="922" customFormat="false" ht="14.25" hidden="false" customHeight="true" outlineLevel="0" collapsed="false">
      <c r="A922" s="116"/>
      <c r="B922" s="19"/>
      <c r="C922" s="19"/>
      <c r="D922" s="36"/>
      <c r="E922" s="19"/>
      <c r="F922" s="37"/>
      <c r="G922" s="38"/>
      <c r="H922" s="38"/>
      <c r="I922" s="38"/>
      <c r="J922" s="38"/>
      <c r="K922" s="38"/>
      <c r="L922" s="38"/>
      <c r="M922" s="38"/>
      <c r="N922" s="39"/>
      <c r="O922" s="38"/>
      <c r="P922" s="30"/>
      <c r="Q922" s="35"/>
      <c r="R922" s="31"/>
      <c r="S922" s="31"/>
      <c r="T922" s="31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F922" s="31"/>
      <c r="AG922" s="31"/>
      <c r="AH922" s="31"/>
      <c r="AI922" s="31"/>
      <c r="AJ922" s="31"/>
    </row>
    <row r="923" customFormat="false" ht="14.25" hidden="false" customHeight="true" outlineLevel="0" collapsed="false">
      <c r="A923" s="116"/>
      <c r="B923" s="19"/>
      <c r="C923" s="19"/>
      <c r="D923" s="36"/>
      <c r="E923" s="19"/>
      <c r="F923" s="37"/>
      <c r="G923" s="38"/>
      <c r="H923" s="38"/>
      <c r="I923" s="38"/>
      <c r="J923" s="38"/>
      <c r="K923" s="38"/>
      <c r="L923" s="38"/>
      <c r="M923" s="38"/>
      <c r="N923" s="39"/>
      <c r="O923" s="38"/>
      <c r="P923" s="30"/>
      <c r="Q923" s="35"/>
      <c r="R923" s="31"/>
      <c r="S923" s="31"/>
      <c r="T923" s="31"/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F923" s="31"/>
      <c r="AG923" s="31"/>
      <c r="AH923" s="31"/>
      <c r="AI923" s="31"/>
      <c r="AJ923" s="31"/>
    </row>
    <row r="924" customFormat="false" ht="14.25" hidden="false" customHeight="true" outlineLevel="0" collapsed="false">
      <c r="A924" s="116"/>
      <c r="B924" s="19"/>
      <c r="C924" s="19"/>
      <c r="D924" s="36"/>
      <c r="E924" s="19"/>
      <c r="F924" s="37"/>
      <c r="G924" s="38"/>
      <c r="H924" s="38"/>
      <c r="I924" s="38"/>
      <c r="J924" s="38"/>
      <c r="K924" s="38"/>
      <c r="L924" s="38"/>
      <c r="M924" s="38"/>
      <c r="N924" s="39"/>
      <c r="O924" s="38"/>
      <c r="P924" s="30"/>
      <c r="Q924" s="35"/>
      <c r="R924" s="31"/>
      <c r="S924" s="31"/>
      <c r="T924" s="31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F924" s="31"/>
      <c r="AG924" s="31"/>
      <c r="AH924" s="31"/>
      <c r="AI924" s="31"/>
      <c r="AJ924" s="31"/>
    </row>
    <row r="925" customFormat="false" ht="14.25" hidden="false" customHeight="true" outlineLevel="0" collapsed="false">
      <c r="A925" s="116"/>
      <c r="B925" s="19"/>
      <c r="C925" s="19"/>
      <c r="D925" s="36"/>
      <c r="E925" s="19"/>
      <c r="F925" s="37"/>
      <c r="G925" s="38"/>
      <c r="H925" s="38"/>
      <c r="I925" s="38"/>
      <c r="J925" s="38"/>
      <c r="K925" s="38"/>
      <c r="L925" s="38"/>
      <c r="M925" s="38"/>
      <c r="N925" s="39"/>
      <c r="O925" s="38"/>
      <c r="P925" s="30"/>
      <c r="Q925" s="35"/>
      <c r="R925" s="31"/>
      <c r="S925" s="31"/>
      <c r="T925" s="31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F925" s="31"/>
      <c r="AG925" s="31"/>
      <c r="AH925" s="31"/>
      <c r="AI925" s="31"/>
      <c r="AJ925" s="31"/>
    </row>
    <row r="926" customFormat="false" ht="14.25" hidden="false" customHeight="true" outlineLevel="0" collapsed="false">
      <c r="A926" s="116"/>
      <c r="B926" s="19"/>
      <c r="C926" s="19"/>
      <c r="D926" s="36"/>
      <c r="E926" s="19"/>
      <c r="F926" s="37"/>
      <c r="G926" s="38"/>
      <c r="H926" s="38"/>
      <c r="I926" s="38"/>
      <c r="J926" s="38"/>
      <c r="K926" s="38"/>
      <c r="L926" s="38"/>
      <c r="M926" s="38"/>
      <c r="N926" s="39"/>
      <c r="O926" s="38"/>
      <c r="P926" s="30"/>
      <c r="Q926" s="35"/>
      <c r="R926" s="31"/>
      <c r="S926" s="31"/>
      <c r="T926" s="31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F926" s="31"/>
      <c r="AG926" s="31"/>
      <c r="AH926" s="31"/>
      <c r="AI926" s="31"/>
      <c r="AJ926" s="31"/>
    </row>
    <row r="927" customFormat="false" ht="14.25" hidden="false" customHeight="true" outlineLevel="0" collapsed="false">
      <c r="A927" s="116"/>
      <c r="B927" s="19"/>
      <c r="C927" s="19"/>
      <c r="D927" s="36"/>
      <c r="E927" s="19"/>
      <c r="F927" s="37"/>
      <c r="G927" s="38"/>
      <c r="H927" s="38"/>
      <c r="I927" s="38"/>
      <c r="J927" s="38"/>
      <c r="K927" s="38"/>
      <c r="L927" s="38"/>
      <c r="M927" s="38"/>
      <c r="N927" s="39"/>
      <c r="O927" s="38"/>
      <c r="P927" s="30"/>
      <c r="Q927" s="35"/>
      <c r="R927" s="31"/>
      <c r="S927" s="31"/>
      <c r="T927" s="31"/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F927" s="31"/>
      <c r="AG927" s="31"/>
      <c r="AH927" s="31"/>
      <c r="AI927" s="31"/>
      <c r="AJ927" s="31"/>
    </row>
    <row r="928" customFormat="false" ht="14.25" hidden="false" customHeight="true" outlineLevel="0" collapsed="false">
      <c r="A928" s="116"/>
      <c r="B928" s="19"/>
      <c r="C928" s="19"/>
      <c r="D928" s="36"/>
      <c r="E928" s="19"/>
      <c r="F928" s="37"/>
      <c r="G928" s="38"/>
      <c r="H928" s="38"/>
      <c r="I928" s="38"/>
      <c r="J928" s="38"/>
      <c r="K928" s="38"/>
      <c r="L928" s="38"/>
      <c r="M928" s="38"/>
      <c r="N928" s="39"/>
      <c r="O928" s="38"/>
      <c r="P928" s="30"/>
      <c r="Q928" s="35"/>
      <c r="R928" s="31"/>
      <c r="S928" s="31"/>
      <c r="T928" s="31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F928" s="31"/>
      <c r="AG928" s="31"/>
      <c r="AH928" s="31"/>
      <c r="AI928" s="31"/>
      <c r="AJ928" s="31"/>
    </row>
    <row r="929" customFormat="false" ht="14.25" hidden="false" customHeight="true" outlineLevel="0" collapsed="false">
      <c r="A929" s="116"/>
      <c r="B929" s="19"/>
      <c r="C929" s="19"/>
      <c r="D929" s="36"/>
      <c r="E929" s="19"/>
      <c r="F929" s="37"/>
      <c r="G929" s="38"/>
      <c r="H929" s="38"/>
      <c r="I929" s="38"/>
      <c r="J929" s="38"/>
      <c r="K929" s="38"/>
      <c r="L929" s="38"/>
      <c r="M929" s="38"/>
      <c r="N929" s="39"/>
      <c r="O929" s="38"/>
      <c r="P929" s="30"/>
      <c r="Q929" s="35"/>
      <c r="R929" s="31"/>
      <c r="S929" s="31"/>
      <c r="T929" s="31"/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F929" s="31"/>
      <c r="AG929" s="31"/>
      <c r="AH929" s="31"/>
      <c r="AI929" s="31"/>
      <c r="AJ929" s="31"/>
    </row>
    <row r="930" customFormat="false" ht="14.25" hidden="false" customHeight="true" outlineLevel="0" collapsed="false">
      <c r="A930" s="116"/>
      <c r="B930" s="19"/>
      <c r="C930" s="19"/>
      <c r="D930" s="36"/>
      <c r="E930" s="19"/>
      <c r="F930" s="37"/>
      <c r="G930" s="38"/>
      <c r="H930" s="38"/>
      <c r="I930" s="38"/>
      <c r="J930" s="38"/>
      <c r="K930" s="38"/>
      <c r="L930" s="38"/>
      <c r="M930" s="38"/>
      <c r="N930" s="39"/>
      <c r="O930" s="38"/>
      <c r="P930" s="30"/>
      <c r="Q930" s="35"/>
      <c r="R930" s="31"/>
      <c r="S930" s="31"/>
      <c r="T930" s="31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F930" s="31"/>
      <c r="AG930" s="31"/>
      <c r="AH930" s="31"/>
      <c r="AI930" s="31"/>
      <c r="AJ930" s="31"/>
    </row>
    <row r="931" customFormat="false" ht="14.25" hidden="false" customHeight="true" outlineLevel="0" collapsed="false">
      <c r="A931" s="116"/>
      <c r="B931" s="19"/>
      <c r="C931" s="19"/>
      <c r="D931" s="36"/>
      <c r="E931" s="19"/>
      <c r="F931" s="37"/>
      <c r="G931" s="38"/>
      <c r="H931" s="38"/>
      <c r="I931" s="38"/>
      <c r="J931" s="38"/>
      <c r="K931" s="38"/>
      <c r="L931" s="38"/>
      <c r="M931" s="38"/>
      <c r="N931" s="39"/>
      <c r="O931" s="38"/>
      <c r="P931" s="30"/>
      <c r="Q931" s="35"/>
      <c r="R931" s="31"/>
      <c r="S931" s="31"/>
      <c r="T931" s="31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F931" s="31"/>
      <c r="AG931" s="31"/>
      <c r="AH931" s="31"/>
      <c r="AI931" s="31"/>
      <c r="AJ931" s="31"/>
    </row>
    <row r="932" customFormat="false" ht="14.25" hidden="false" customHeight="true" outlineLevel="0" collapsed="false">
      <c r="A932" s="116"/>
      <c r="B932" s="19"/>
      <c r="C932" s="19"/>
      <c r="D932" s="36"/>
      <c r="E932" s="19"/>
      <c r="F932" s="37"/>
      <c r="G932" s="38"/>
      <c r="H932" s="38"/>
      <c r="I932" s="38"/>
      <c r="J932" s="38"/>
      <c r="K932" s="38"/>
      <c r="L932" s="38"/>
      <c r="M932" s="38"/>
      <c r="N932" s="39"/>
      <c r="O932" s="38"/>
      <c r="P932" s="30"/>
      <c r="Q932" s="35"/>
      <c r="R932" s="31"/>
      <c r="S932" s="31"/>
      <c r="T932" s="31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F932" s="31"/>
      <c r="AG932" s="31"/>
      <c r="AH932" s="31"/>
      <c r="AI932" s="31"/>
      <c r="AJ932" s="31"/>
    </row>
    <row r="933" customFormat="false" ht="14.25" hidden="false" customHeight="true" outlineLevel="0" collapsed="false">
      <c r="A933" s="116"/>
      <c r="B933" s="19"/>
      <c r="C933" s="19"/>
      <c r="D933" s="36"/>
      <c r="E933" s="19"/>
      <c r="F933" s="37"/>
      <c r="G933" s="38"/>
      <c r="H933" s="38"/>
      <c r="I933" s="38"/>
      <c r="J933" s="38"/>
      <c r="K933" s="38"/>
      <c r="L933" s="38"/>
      <c r="M933" s="38"/>
      <c r="N933" s="39"/>
      <c r="O933" s="38"/>
      <c r="P933" s="30"/>
      <c r="Q933" s="35"/>
      <c r="R933" s="31"/>
      <c r="S933" s="31"/>
      <c r="T933" s="31"/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F933" s="31"/>
      <c r="AG933" s="31"/>
      <c r="AH933" s="31"/>
      <c r="AI933" s="31"/>
      <c r="AJ933" s="31"/>
    </row>
    <row r="934" customFormat="false" ht="14.25" hidden="false" customHeight="true" outlineLevel="0" collapsed="false">
      <c r="A934" s="116"/>
      <c r="B934" s="19"/>
      <c r="C934" s="19"/>
      <c r="D934" s="36"/>
      <c r="E934" s="19"/>
      <c r="F934" s="37"/>
      <c r="G934" s="38"/>
      <c r="H934" s="38"/>
      <c r="I934" s="38"/>
      <c r="J934" s="38"/>
      <c r="K934" s="38"/>
      <c r="L934" s="38"/>
      <c r="M934" s="38"/>
      <c r="N934" s="39"/>
      <c r="O934" s="38"/>
      <c r="P934" s="30"/>
      <c r="Q934" s="35"/>
      <c r="R934" s="31"/>
      <c r="S934" s="31"/>
      <c r="T934" s="31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F934" s="31"/>
      <c r="AG934" s="31"/>
      <c r="AH934" s="31"/>
      <c r="AI934" s="31"/>
      <c r="AJ934" s="31"/>
    </row>
    <row r="935" customFormat="false" ht="14.25" hidden="false" customHeight="true" outlineLevel="0" collapsed="false">
      <c r="A935" s="116"/>
      <c r="B935" s="19"/>
      <c r="C935" s="19"/>
      <c r="D935" s="36"/>
      <c r="E935" s="19"/>
      <c r="F935" s="37"/>
      <c r="G935" s="38"/>
      <c r="H935" s="38"/>
      <c r="I935" s="38"/>
      <c r="J935" s="38"/>
      <c r="K935" s="38"/>
      <c r="L935" s="38"/>
      <c r="M935" s="38"/>
      <c r="N935" s="39"/>
      <c r="O935" s="38"/>
      <c r="P935" s="30"/>
      <c r="Q935" s="35"/>
      <c r="R935" s="31"/>
      <c r="S935" s="31"/>
      <c r="T935" s="31"/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F935" s="31"/>
      <c r="AG935" s="31"/>
      <c r="AH935" s="31"/>
      <c r="AI935" s="31"/>
      <c r="AJ935" s="31"/>
    </row>
    <row r="936" customFormat="false" ht="14.25" hidden="false" customHeight="true" outlineLevel="0" collapsed="false">
      <c r="A936" s="116"/>
      <c r="B936" s="19"/>
      <c r="C936" s="19"/>
      <c r="D936" s="36"/>
      <c r="E936" s="19"/>
      <c r="F936" s="37"/>
      <c r="G936" s="38"/>
      <c r="H936" s="38"/>
      <c r="I936" s="38"/>
      <c r="J936" s="38"/>
      <c r="K936" s="38"/>
      <c r="L936" s="38"/>
      <c r="M936" s="38"/>
      <c r="N936" s="39"/>
      <c r="O936" s="38"/>
      <c r="P936" s="30"/>
      <c r="Q936" s="35"/>
      <c r="R936" s="31"/>
      <c r="S936" s="31"/>
      <c r="T936" s="31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F936" s="31"/>
      <c r="AG936" s="31"/>
      <c r="AH936" s="31"/>
      <c r="AI936" s="31"/>
      <c r="AJ936" s="31"/>
    </row>
    <row r="937" customFormat="false" ht="14.25" hidden="false" customHeight="true" outlineLevel="0" collapsed="false">
      <c r="A937" s="116"/>
      <c r="B937" s="19"/>
      <c r="C937" s="19"/>
      <c r="D937" s="36"/>
      <c r="E937" s="19"/>
      <c r="F937" s="37"/>
      <c r="G937" s="38"/>
      <c r="H937" s="38"/>
      <c r="I937" s="38"/>
      <c r="J937" s="38"/>
      <c r="K937" s="38"/>
      <c r="L937" s="38"/>
      <c r="M937" s="38"/>
      <c r="N937" s="39"/>
      <c r="O937" s="38"/>
      <c r="P937" s="30"/>
      <c r="Q937" s="35"/>
      <c r="R937" s="31"/>
      <c r="S937" s="31"/>
      <c r="T937" s="31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F937" s="31"/>
      <c r="AG937" s="31"/>
      <c r="AH937" s="31"/>
      <c r="AI937" s="31"/>
      <c r="AJ937" s="31"/>
    </row>
    <row r="938" customFormat="false" ht="14.25" hidden="false" customHeight="true" outlineLevel="0" collapsed="false">
      <c r="A938" s="116"/>
      <c r="B938" s="19"/>
      <c r="C938" s="19"/>
      <c r="D938" s="36"/>
      <c r="E938" s="19"/>
      <c r="F938" s="37"/>
      <c r="G938" s="38"/>
      <c r="H938" s="38"/>
      <c r="I938" s="38"/>
      <c r="J938" s="38"/>
      <c r="K938" s="38"/>
      <c r="L938" s="38"/>
      <c r="M938" s="38"/>
      <c r="N938" s="39"/>
      <c r="O938" s="38"/>
      <c r="P938" s="30"/>
      <c r="Q938" s="35"/>
      <c r="R938" s="31"/>
      <c r="S938" s="31"/>
      <c r="T938" s="31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F938" s="31"/>
      <c r="AG938" s="31"/>
      <c r="AH938" s="31"/>
      <c r="AI938" s="31"/>
      <c r="AJ938" s="31"/>
    </row>
    <row r="939" customFormat="false" ht="14.25" hidden="false" customHeight="true" outlineLevel="0" collapsed="false">
      <c r="A939" s="116"/>
      <c r="B939" s="19"/>
      <c r="C939" s="19"/>
      <c r="D939" s="36"/>
      <c r="E939" s="19"/>
      <c r="F939" s="37"/>
      <c r="G939" s="38"/>
      <c r="H939" s="38"/>
      <c r="I939" s="38"/>
      <c r="J939" s="38"/>
      <c r="K939" s="38"/>
      <c r="L939" s="38"/>
      <c r="M939" s="38"/>
      <c r="N939" s="39"/>
      <c r="O939" s="38"/>
      <c r="P939" s="30"/>
      <c r="Q939" s="35"/>
      <c r="R939" s="31"/>
      <c r="S939" s="31"/>
      <c r="T939" s="31"/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F939" s="31"/>
      <c r="AG939" s="31"/>
      <c r="AH939" s="31"/>
      <c r="AI939" s="31"/>
      <c r="AJ939" s="31"/>
    </row>
    <row r="940" customFormat="false" ht="14.25" hidden="false" customHeight="true" outlineLevel="0" collapsed="false">
      <c r="A940" s="116"/>
      <c r="B940" s="19"/>
      <c r="C940" s="19"/>
      <c r="D940" s="36"/>
      <c r="E940" s="19"/>
      <c r="F940" s="37"/>
      <c r="G940" s="38"/>
      <c r="H940" s="38"/>
      <c r="I940" s="38"/>
      <c r="J940" s="38"/>
      <c r="K940" s="38"/>
      <c r="L940" s="38"/>
      <c r="M940" s="38"/>
      <c r="N940" s="39"/>
      <c r="O940" s="38"/>
      <c r="P940" s="30"/>
      <c r="Q940" s="35"/>
      <c r="R940" s="31"/>
      <c r="S940" s="31"/>
      <c r="T940" s="31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F940" s="31"/>
      <c r="AG940" s="31"/>
      <c r="AH940" s="31"/>
      <c r="AI940" s="31"/>
      <c r="AJ940" s="31"/>
    </row>
    <row r="941" customFormat="false" ht="14.25" hidden="false" customHeight="true" outlineLevel="0" collapsed="false">
      <c r="A941" s="116"/>
      <c r="B941" s="19"/>
      <c r="C941" s="19"/>
      <c r="D941" s="36"/>
      <c r="E941" s="19"/>
      <c r="F941" s="37"/>
      <c r="G941" s="38"/>
      <c r="H941" s="38"/>
      <c r="I941" s="38"/>
      <c r="J941" s="38"/>
      <c r="K941" s="38"/>
      <c r="L941" s="38"/>
      <c r="M941" s="38"/>
      <c r="N941" s="39"/>
      <c r="O941" s="38"/>
      <c r="P941" s="30"/>
      <c r="Q941" s="35"/>
      <c r="R941" s="31"/>
      <c r="S941" s="31"/>
      <c r="T941" s="31"/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F941" s="31"/>
      <c r="AG941" s="31"/>
      <c r="AH941" s="31"/>
      <c r="AI941" s="31"/>
      <c r="AJ941" s="31"/>
    </row>
    <row r="942" customFormat="false" ht="14.25" hidden="false" customHeight="true" outlineLevel="0" collapsed="false">
      <c r="A942" s="116"/>
      <c r="B942" s="19"/>
      <c r="C942" s="19"/>
      <c r="D942" s="36"/>
      <c r="E942" s="19"/>
      <c r="F942" s="37"/>
      <c r="G942" s="38"/>
      <c r="H942" s="38"/>
      <c r="I942" s="38"/>
      <c r="J942" s="38"/>
      <c r="K942" s="38"/>
      <c r="L942" s="38"/>
      <c r="M942" s="38"/>
      <c r="N942" s="39"/>
      <c r="O942" s="38"/>
      <c r="P942" s="30"/>
      <c r="Q942" s="35"/>
      <c r="R942" s="31"/>
      <c r="S942" s="31"/>
      <c r="T942" s="31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F942" s="31"/>
      <c r="AG942" s="31"/>
      <c r="AH942" s="31"/>
      <c r="AI942" s="31"/>
      <c r="AJ942" s="31"/>
    </row>
    <row r="943" customFormat="false" ht="14.25" hidden="false" customHeight="true" outlineLevel="0" collapsed="false">
      <c r="A943" s="116"/>
      <c r="B943" s="19"/>
      <c r="C943" s="19"/>
      <c r="D943" s="36"/>
      <c r="E943" s="19"/>
      <c r="F943" s="37"/>
      <c r="G943" s="38"/>
      <c r="H943" s="38"/>
      <c r="I943" s="38"/>
      <c r="J943" s="38"/>
      <c r="K943" s="38"/>
      <c r="L943" s="38"/>
      <c r="M943" s="38"/>
      <c r="N943" s="39"/>
      <c r="O943" s="38"/>
      <c r="P943" s="30"/>
      <c r="Q943" s="35"/>
      <c r="R943" s="31"/>
      <c r="S943" s="31"/>
      <c r="T943" s="31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F943" s="31"/>
      <c r="AG943" s="31"/>
      <c r="AH943" s="31"/>
      <c r="AI943" s="31"/>
      <c r="AJ943" s="31"/>
    </row>
    <row r="944" customFormat="false" ht="14.25" hidden="false" customHeight="true" outlineLevel="0" collapsed="false">
      <c r="A944" s="116"/>
      <c r="B944" s="19"/>
      <c r="C944" s="19"/>
      <c r="D944" s="36"/>
      <c r="E944" s="19"/>
      <c r="F944" s="37"/>
      <c r="G944" s="38"/>
      <c r="H944" s="38"/>
      <c r="I944" s="38"/>
      <c r="J944" s="38"/>
      <c r="K944" s="38"/>
      <c r="L944" s="38"/>
      <c r="M944" s="38"/>
      <c r="N944" s="39"/>
      <c r="O944" s="38"/>
      <c r="P944" s="30"/>
      <c r="Q944" s="35"/>
      <c r="R944" s="31"/>
      <c r="S944" s="31"/>
      <c r="T944" s="31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F944" s="31"/>
      <c r="AG944" s="31"/>
      <c r="AH944" s="31"/>
      <c r="AI944" s="31"/>
      <c r="AJ944" s="31"/>
    </row>
    <row r="945" customFormat="false" ht="14.25" hidden="false" customHeight="true" outlineLevel="0" collapsed="false">
      <c r="A945" s="116"/>
      <c r="B945" s="19"/>
      <c r="C945" s="19"/>
      <c r="D945" s="36"/>
      <c r="E945" s="19"/>
      <c r="F945" s="37"/>
      <c r="G945" s="38"/>
      <c r="H945" s="38"/>
      <c r="I945" s="38"/>
      <c r="J945" s="38"/>
      <c r="K945" s="38"/>
      <c r="L945" s="38"/>
      <c r="M945" s="38"/>
      <c r="N945" s="39"/>
      <c r="O945" s="38"/>
      <c r="P945" s="30"/>
      <c r="Q945" s="35"/>
      <c r="R945" s="31"/>
      <c r="S945" s="31"/>
      <c r="T945" s="31"/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F945" s="31"/>
      <c r="AG945" s="31"/>
      <c r="AH945" s="31"/>
      <c r="AI945" s="31"/>
      <c r="AJ945" s="31"/>
    </row>
    <row r="946" customFormat="false" ht="14.25" hidden="false" customHeight="true" outlineLevel="0" collapsed="false">
      <c r="A946" s="116"/>
      <c r="B946" s="19"/>
      <c r="C946" s="19"/>
      <c r="D946" s="36"/>
      <c r="E946" s="19"/>
      <c r="F946" s="37"/>
      <c r="G946" s="38"/>
      <c r="H946" s="38"/>
      <c r="I946" s="38"/>
      <c r="J946" s="38"/>
      <c r="K946" s="38"/>
      <c r="L946" s="38"/>
      <c r="M946" s="38"/>
      <c r="N946" s="39"/>
      <c r="O946" s="38"/>
      <c r="P946" s="30"/>
      <c r="Q946" s="35"/>
      <c r="R946" s="31"/>
      <c r="S946" s="31"/>
      <c r="T946" s="31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F946" s="31"/>
      <c r="AG946" s="31"/>
      <c r="AH946" s="31"/>
      <c r="AI946" s="31"/>
      <c r="AJ946" s="31"/>
    </row>
    <row r="947" customFormat="false" ht="14.25" hidden="false" customHeight="true" outlineLevel="0" collapsed="false">
      <c r="A947" s="116"/>
      <c r="B947" s="19"/>
      <c r="C947" s="19"/>
      <c r="D947" s="36"/>
      <c r="E947" s="19"/>
      <c r="F947" s="37"/>
      <c r="G947" s="38"/>
      <c r="H947" s="38"/>
      <c r="I947" s="38"/>
      <c r="J947" s="38"/>
      <c r="K947" s="38"/>
      <c r="L947" s="38"/>
      <c r="M947" s="38"/>
      <c r="N947" s="39"/>
      <c r="O947" s="38"/>
      <c r="P947" s="30"/>
      <c r="Q947" s="35"/>
      <c r="R947" s="31"/>
      <c r="S947" s="31"/>
      <c r="T947" s="31"/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F947" s="31"/>
      <c r="AG947" s="31"/>
      <c r="AH947" s="31"/>
      <c r="AI947" s="31"/>
      <c r="AJ947" s="31"/>
    </row>
    <row r="948" customFormat="false" ht="14.25" hidden="false" customHeight="true" outlineLevel="0" collapsed="false">
      <c r="A948" s="116"/>
      <c r="B948" s="19"/>
      <c r="C948" s="19"/>
      <c r="D948" s="36"/>
      <c r="E948" s="19"/>
      <c r="F948" s="37"/>
      <c r="G948" s="38"/>
      <c r="H948" s="38"/>
      <c r="I948" s="38"/>
      <c r="J948" s="38"/>
      <c r="K948" s="38"/>
      <c r="L948" s="38"/>
      <c r="M948" s="38"/>
      <c r="N948" s="39"/>
      <c r="O948" s="38"/>
      <c r="P948" s="30"/>
      <c r="Q948" s="35"/>
      <c r="R948" s="31"/>
      <c r="S948" s="31"/>
      <c r="T948" s="31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F948" s="31"/>
      <c r="AG948" s="31"/>
      <c r="AH948" s="31"/>
      <c r="AI948" s="31"/>
      <c r="AJ948" s="31"/>
    </row>
    <row r="949" customFormat="false" ht="14.25" hidden="false" customHeight="true" outlineLevel="0" collapsed="false">
      <c r="A949" s="116"/>
      <c r="B949" s="19"/>
      <c r="C949" s="19"/>
      <c r="D949" s="36"/>
      <c r="E949" s="19"/>
      <c r="F949" s="37"/>
      <c r="G949" s="38"/>
      <c r="H949" s="38"/>
      <c r="I949" s="38"/>
      <c r="J949" s="38"/>
      <c r="K949" s="38"/>
      <c r="L949" s="38"/>
      <c r="M949" s="38"/>
      <c r="N949" s="39"/>
      <c r="O949" s="38"/>
      <c r="P949" s="30"/>
      <c r="Q949" s="35"/>
      <c r="R949" s="31"/>
      <c r="S949" s="31"/>
      <c r="T949" s="31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F949" s="31"/>
      <c r="AG949" s="31"/>
      <c r="AH949" s="31"/>
      <c r="AI949" s="31"/>
      <c r="AJ949" s="31"/>
    </row>
    <row r="950" customFormat="false" ht="14.25" hidden="false" customHeight="true" outlineLevel="0" collapsed="false">
      <c r="A950" s="116"/>
      <c r="B950" s="19"/>
      <c r="C950" s="19"/>
      <c r="D950" s="36"/>
      <c r="E950" s="19"/>
      <c r="F950" s="37"/>
      <c r="G950" s="38"/>
      <c r="H950" s="38"/>
      <c r="I950" s="38"/>
      <c r="J950" s="38"/>
      <c r="K950" s="38"/>
      <c r="L950" s="38"/>
      <c r="M950" s="38"/>
      <c r="N950" s="39"/>
      <c r="O950" s="38"/>
      <c r="P950" s="30"/>
      <c r="Q950" s="35"/>
      <c r="R950" s="31"/>
      <c r="S950" s="31"/>
      <c r="T950" s="31"/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F950" s="31"/>
      <c r="AG950" s="31"/>
      <c r="AH950" s="31"/>
      <c r="AI950" s="31"/>
      <c r="AJ950" s="31"/>
    </row>
    <row r="951" customFormat="false" ht="14.25" hidden="false" customHeight="true" outlineLevel="0" collapsed="false">
      <c r="A951" s="116"/>
      <c r="B951" s="19"/>
      <c r="C951" s="19"/>
      <c r="D951" s="36"/>
      <c r="E951" s="19"/>
      <c r="F951" s="37"/>
      <c r="G951" s="38"/>
      <c r="H951" s="38"/>
      <c r="I951" s="38"/>
      <c r="J951" s="38"/>
      <c r="K951" s="38"/>
      <c r="L951" s="38"/>
      <c r="M951" s="38"/>
      <c r="N951" s="39"/>
      <c r="O951" s="38"/>
      <c r="P951" s="30"/>
      <c r="Q951" s="35"/>
      <c r="R951" s="31"/>
      <c r="S951" s="31"/>
      <c r="T951" s="31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F951" s="31"/>
      <c r="AG951" s="31"/>
      <c r="AH951" s="31"/>
      <c r="AI951" s="31"/>
      <c r="AJ951" s="31"/>
    </row>
    <row r="952" customFormat="false" ht="14.25" hidden="false" customHeight="true" outlineLevel="0" collapsed="false">
      <c r="A952" s="116"/>
      <c r="B952" s="19"/>
      <c r="C952" s="19"/>
      <c r="D952" s="36"/>
      <c r="E952" s="19"/>
      <c r="F952" s="37"/>
      <c r="G952" s="38"/>
      <c r="H952" s="38"/>
      <c r="I952" s="38"/>
      <c r="J952" s="38"/>
      <c r="K952" s="38"/>
      <c r="L952" s="38"/>
      <c r="M952" s="38"/>
      <c r="N952" s="39"/>
      <c r="O952" s="38"/>
      <c r="P952" s="30"/>
      <c r="Q952" s="35"/>
      <c r="R952" s="31"/>
      <c r="S952" s="31"/>
      <c r="T952" s="31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F952" s="31"/>
      <c r="AG952" s="31"/>
      <c r="AH952" s="31"/>
      <c r="AI952" s="31"/>
      <c r="AJ952" s="31"/>
    </row>
    <row r="953" customFormat="false" ht="14.25" hidden="false" customHeight="true" outlineLevel="0" collapsed="false">
      <c r="A953" s="116"/>
      <c r="B953" s="19"/>
      <c r="C953" s="19"/>
      <c r="D953" s="36"/>
      <c r="E953" s="19"/>
      <c r="F953" s="37"/>
      <c r="G953" s="38"/>
      <c r="H953" s="38"/>
      <c r="I953" s="38"/>
      <c r="J953" s="38"/>
      <c r="K953" s="38"/>
      <c r="L953" s="38"/>
      <c r="M953" s="38"/>
      <c r="N953" s="39"/>
      <c r="O953" s="38"/>
      <c r="P953" s="30"/>
      <c r="Q953" s="35"/>
      <c r="R953" s="31"/>
      <c r="S953" s="31"/>
      <c r="T953" s="31"/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F953" s="31"/>
      <c r="AG953" s="31"/>
      <c r="AH953" s="31"/>
      <c r="AI953" s="31"/>
      <c r="AJ953" s="31"/>
    </row>
    <row r="954" customFormat="false" ht="14.25" hidden="false" customHeight="true" outlineLevel="0" collapsed="false">
      <c r="A954" s="116"/>
      <c r="B954" s="19"/>
      <c r="C954" s="19"/>
      <c r="D954" s="36"/>
      <c r="E954" s="19"/>
      <c r="F954" s="37"/>
      <c r="G954" s="38"/>
      <c r="H954" s="38"/>
      <c r="I954" s="38"/>
      <c r="J954" s="38"/>
      <c r="K954" s="38"/>
      <c r="L954" s="38"/>
      <c r="M954" s="38"/>
      <c r="N954" s="39"/>
      <c r="O954" s="38"/>
      <c r="P954" s="30"/>
      <c r="Q954" s="35"/>
      <c r="R954" s="31"/>
      <c r="S954" s="31"/>
      <c r="T954" s="31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F954" s="31"/>
      <c r="AG954" s="31"/>
      <c r="AH954" s="31"/>
      <c r="AI954" s="31"/>
      <c r="AJ954" s="31"/>
    </row>
    <row r="955" customFormat="false" ht="14.25" hidden="false" customHeight="true" outlineLevel="0" collapsed="false">
      <c r="A955" s="116"/>
      <c r="B955" s="19"/>
      <c r="C955" s="19"/>
      <c r="D955" s="36"/>
      <c r="E955" s="19"/>
      <c r="F955" s="37"/>
      <c r="G955" s="38"/>
      <c r="H955" s="38"/>
      <c r="I955" s="38"/>
      <c r="J955" s="38"/>
      <c r="K955" s="38"/>
      <c r="L955" s="38"/>
      <c r="M955" s="38"/>
      <c r="N955" s="39"/>
      <c r="O955" s="38"/>
      <c r="P955" s="30"/>
      <c r="Q955" s="35"/>
      <c r="R955" s="31"/>
      <c r="S955" s="31"/>
      <c r="T955" s="31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F955" s="31"/>
      <c r="AG955" s="31"/>
      <c r="AH955" s="31"/>
      <c r="AI955" s="31"/>
      <c r="AJ955" s="31"/>
    </row>
    <row r="956" customFormat="false" ht="14.25" hidden="false" customHeight="true" outlineLevel="0" collapsed="false">
      <c r="A956" s="116"/>
      <c r="B956" s="19"/>
      <c r="C956" s="19"/>
      <c r="D956" s="36"/>
      <c r="E956" s="19"/>
      <c r="F956" s="37"/>
      <c r="G956" s="38"/>
      <c r="H956" s="38"/>
      <c r="I956" s="38"/>
      <c r="J956" s="38"/>
      <c r="K956" s="38"/>
      <c r="L956" s="38"/>
      <c r="M956" s="38"/>
      <c r="N956" s="39"/>
      <c r="O956" s="38"/>
      <c r="P956" s="30"/>
      <c r="Q956" s="35"/>
      <c r="R956" s="31"/>
      <c r="S956" s="31"/>
      <c r="T956" s="31"/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F956" s="31"/>
      <c r="AG956" s="31"/>
      <c r="AH956" s="31"/>
      <c r="AI956" s="31"/>
      <c r="AJ956" s="31"/>
    </row>
    <row r="957" customFormat="false" ht="14.25" hidden="false" customHeight="true" outlineLevel="0" collapsed="false">
      <c r="A957" s="116"/>
      <c r="B957" s="19"/>
      <c r="C957" s="19"/>
      <c r="D957" s="36"/>
      <c r="E957" s="19"/>
      <c r="F957" s="37"/>
      <c r="G957" s="38"/>
      <c r="H957" s="38"/>
      <c r="I957" s="38"/>
      <c r="J957" s="38"/>
      <c r="K957" s="38"/>
      <c r="L957" s="38"/>
      <c r="M957" s="38"/>
      <c r="N957" s="39"/>
      <c r="O957" s="38"/>
      <c r="P957" s="30"/>
      <c r="Q957" s="35"/>
      <c r="R957" s="31"/>
      <c r="S957" s="31"/>
      <c r="T957" s="31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F957" s="31"/>
      <c r="AG957" s="31"/>
      <c r="AH957" s="31"/>
      <c r="AI957" s="31"/>
      <c r="AJ957" s="31"/>
    </row>
    <row r="958" customFormat="false" ht="14.25" hidden="false" customHeight="true" outlineLevel="0" collapsed="false">
      <c r="A958" s="116"/>
      <c r="B958" s="19"/>
      <c r="C958" s="19"/>
      <c r="D958" s="36"/>
      <c r="E958" s="19"/>
      <c r="F958" s="37"/>
      <c r="G958" s="38"/>
      <c r="H958" s="38"/>
      <c r="I958" s="38"/>
      <c r="J958" s="38"/>
      <c r="K958" s="38"/>
      <c r="L958" s="38"/>
      <c r="M958" s="38"/>
      <c r="N958" s="39"/>
      <c r="O958" s="38"/>
      <c r="P958" s="30"/>
      <c r="Q958" s="35"/>
      <c r="R958" s="31"/>
      <c r="S958" s="31"/>
      <c r="T958" s="31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F958" s="31"/>
      <c r="AG958" s="31"/>
      <c r="AH958" s="31"/>
      <c r="AI958" s="31"/>
      <c r="AJ958" s="31"/>
    </row>
    <row r="959" customFormat="false" ht="14.25" hidden="false" customHeight="true" outlineLevel="0" collapsed="false">
      <c r="A959" s="116"/>
      <c r="B959" s="19"/>
      <c r="C959" s="19"/>
      <c r="D959" s="36"/>
      <c r="E959" s="19"/>
      <c r="F959" s="37"/>
      <c r="G959" s="38"/>
      <c r="H959" s="38"/>
      <c r="I959" s="38"/>
      <c r="J959" s="38"/>
      <c r="K959" s="38"/>
      <c r="L959" s="38"/>
      <c r="M959" s="38"/>
      <c r="N959" s="39"/>
      <c r="O959" s="38"/>
      <c r="P959" s="30"/>
      <c r="Q959" s="35"/>
      <c r="R959" s="31"/>
      <c r="S959" s="31"/>
      <c r="T959" s="31"/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F959" s="31"/>
      <c r="AG959" s="31"/>
      <c r="AH959" s="31"/>
      <c r="AI959" s="31"/>
      <c r="AJ959" s="31"/>
    </row>
    <row r="960" customFormat="false" ht="14.25" hidden="false" customHeight="true" outlineLevel="0" collapsed="false">
      <c r="A960" s="116"/>
      <c r="B960" s="19"/>
      <c r="C960" s="19"/>
      <c r="D960" s="36"/>
      <c r="E960" s="19"/>
      <c r="F960" s="37"/>
      <c r="G960" s="38"/>
      <c r="H960" s="38"/>
      <c r="I960" s="38"/>
      <c r="J960" s="38"/>
      <c r="K960" s="38"/>
      <c r="L960" s="38"/>
      <c r="M960" s="38"/>
      <c r="N960" s="39"/>
      <c r="O960" s="38"/>
      <c r="P960" s="30"/>
      <c r="Q960" s="35"/>
      <c r="R960" s="31"/>
      <c r="S960" s="31"/>
      <c r="T960" s="31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F960" s="31"/>
      <c r="AG960" s="31"/>
      <c r="AH960" s="31"/>
      <c r="AI960" s="31"/>
      <c r="AJ960" s="31"/>
    </row>
    <row r="961" customFormat="false" ht="14.25" hidden="false" customHeight="true" outlineLevel="0" collapsed="false">
      <c r="A961" s="116"/>
      <c r="B961" s="19"/>
      <c r="C961" s="19"/>
      <c r="D961" s="36"/>
      <c r="E961" s="19"/>
      <c r="F961" s="37"/>
      <c r="G961" s="38"/>
      <c r="H961" s="38"/>
      <c r="I961" s="38"/>
      <c r="J961" s="38"/>
      <c r="K961" s="38"/>
      <c r="L961" s="38"/>
      <c r="M961" s="38"/>
      <c r="N961" s="39"/>
      <c r="O961" s="38"/>
      <c r="P961" s="30"/>
      <c r="Q961" s="35"/>
      <c r="R961" s="31"/>
      <c r="S961" s="31"/>
      <c r="T961" s="31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F961" s="31"/>
      <c r="AG961" s="31"/>
      <c r="AH961" s="31"/>
      <c r="AI961" s="31"/>
      <c r="AJ961" s="31"/>
    </row>
    <row r="962" customFormat="false" ht="14.25" hidden="false" customHeight="true" outlineLevel="0" collapsed="false">
      <c r="A962" s="116"/>
      <c r="B962" s="19"/>
      <c r="C962" s="19"/>
      <c r="D962" s="36"/>
      <c r="E962" s="19"/>
      <c r="F962" s="37"/>
      <c r="G962" s="38"/>
      <c r="H962" s="38"/>
      <c r="I962" s="38"/>
      <c r="J962" s="38"/>
      <c r="K962" s="38"/>
      <c r="L962" s="38"/>
      <c r="M962" s="38"/>
      <c r="N962" s="39"/>
      <c r="O962" s="38"/>
      <c r="P962" s="30"/>
      <c r="Q962" s="35"/>
      <c r="R962" s="31"/>
      <c r="S962" s="31"/>
      <c r="T962" s="31"/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F962" s="31"/>
      <c r="AG962" s="31"/>
      <c r="AH962" s="31"/>
      <c r="AI962" s="31"/>
      <c r="AJ962" s="31"/>
    </row>
    <row r="963" customFormat="false" ht="14.25" hidden="false" customHeight="true" outlineLevel="0" collapsed="false">
      <c r="A963" s="116"/>
      <c r="B963" s="19"/>
      <c r="C963" s="19"/>
      <c r="D963" s="36"/>
      <c r="E963" s="19"/>
      <c r="F963" s="37"/>
      <c r="G963" s="38"/>
      <c r="H963" s="38"/>
      <c r="I963" s="38"/>
      <c r="J963" s="38"/>
      <c r="K963" s="38"/>
      <c r="L963" s="38"/>
      <c r="M963" s="38"/>
      <c r="N963" s="39"/>
      <c r="O963" s="38"/>
      <c r="P963" s="30"/>
      <c r="Q963" s="35"/>
      <c r="R963" s="31"/>
      <c r="S963" s="31"/>
      <c r="T963" s="31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F963" s="31"/>
      <c r="AG963" s="31"/>
      <c r="AH963" s="31"/>
      <c r="AI963" s="31"/>
      <c r="AJ963" s="31"/>
    </row>
    <row r="964" customFormat="false" ht="14.25" hidden="false" customHeight="true" outlineLevel="0" collapsed="false">
      <c r="A964" s="116"/>
      <c r="B964" s="19"/>
      <c r="C964" s="19"/>
      <c r="D964" s="36"/>
      <c r="E964" s="19"/>
      <c r="F964" s="37"/>
      <c r="G964" s="38"/>
      <c r="H964" s="38"/>
      <c r="I964" s="38"/>
      <c r="J964" s="38"/>
      <c r="K964" s="38"/>
      <c r="L964" s="38"/>
      <c r="M964" s="38"/>
      <c r="N964" s="39"/>
      <c r="O964" s="38"/>
      <c r="P964" s="30"/>
      <c r="Q964" s="35"/>
      <c r="R964" s="31"/>
      <c r="S964" s="31"/>
      <c r="T964" s="31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F964" s="31"/>
      <c r="AG964" s="31"/>
      <c r="AH964" s="31"/>
      <c r="AI964" s="31"/>
      <c r="AJ964" s="31"/>
    </row>
    <row r="965" customFormat="false" ht="14.25" hidden="false" customHeight="true" outlineLevel="0" collapsed="false">
      <c r="A965" s="116"/>
      <c r="B965" s="19"/>
      <c r="C965" s="19"/>
      <c r="D965" s="36"/>
      <c r="E965" s="19"/>
      <c r="F965" s="37"/>
      <c r="G965" s="38"/>
      <c r="H965" s="38"/>
      <c r="I965" s="38"/>
      <c r="J965" s="38"/>
      <c r="K965" s="38"/>
      <c r="L965" s="38"/>
      <c r="M965" s="38"/>
      <c r="N965" s="39"/>
      <c r="O965" s="38"/>
      <c r="P965" s="30"/>
      <c r="Q965" s="35"/>
      <c r="R965" s="31"/>
      <c r="S965" s="31"/>
      <c r="T965" s="31"/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F965" s="31"/>
      <c r="AG965" s="31"/>
      <c r="AH965" s="31"/>
      <c r="AI965" s="31"/>
      <c r="AJ965" s="31"/>
    </row>
    <row r="966" customFormat="false" ht="14.25" hidden="false" customHeight="true" outlineLevel="0" collapsed="false">
      <c r="A966" s="116"/>
      <c r="B966" s="19"/>
      <c r="C966" s="19"/>
      <c r="D966" s="36"/>
      <c r="E966" s="19"/>
      <c r="F966" s="37"/>
      <c r="G966" s="38"/>
      <c r="H966" s="38"/>
      <c r="I966" s="38"/>
      <c r="J966" s="38"/>
      <c r="K966" s="38"/>
      <c r="L966" s="38"/>
      <c r="M966" s="38"/>
      <c r="N966" s="39"/>
      <c r="O966" s="38"/>
      <c r="P966" s="30"/>
      <c r="Q966" s="35"/>
      <c r="R966" s="31"/>
      <c r="S966" s="31"/>
      <c r="T966" s="31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F966" s="31"/>
      <c r="AG966" s="31"/>
      <c r="AH966" s="31"/>
      <c r="AI966" s="31"/>
      <c r="AJ966" s="31"/>
    </row>
    <row r="967" customFormat="false" ht="14.25" hidden="false" customHeight="true" outlineLevel="0" collapsed="false">
      <c r="A967" s="116"/>
      <c r="B967" s="19"/>
      <c r="C967" s="19"/>
      <c r="D967" s="36"/>
      <c r="E967" s="19"/>
      <c r="F967" s="37"/>
      <c r="G967" s="38"/>
      <c r="H967" s="38"/>
      <c r="I967" s="38"/>
      <c r="J967" s="38"/>
      <c r="K967" s="38"/>
      <c r="L967" s="38"/>
      <c r="M967" s="38"/>
      <c r="N967" s="39"/>
      <c r="O967" s="38"/>
      <c r="P967" s="30"/>
      <c r="Q967" s="35"/>
      <c r="R967" s="31"/>
      <c r="S967" s="31"/>
      <c r="T967" s="31"/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F967" s="31"/>
      <c r="AG967" s="31"/>
      <c r="AH967" s="31"/>
      <c r="AI967" s="31"/>
      <c r="AJ967" s="31"/>
    </row>
    <row r="968" customFormat="false" ht="14.25" hidden="false" customHeight="true" outlineLevel="0" collapsed="false">
      <c r="A968" s="116"/>
      <c r="B968" s="19"/>
      <c r="C968" s="19"/>
      <c r="D968" s="36"/>
      <c r="E968" s="19"/>
      <c r="F968" s="37"/>
      <c r="G968" s="38"/>
      <c r="H968" s="38"/>
      <c r="I968" s="38"/>
      <c r="J968" s="38"/>
      <c r="K968" s="38"/>
      <c r="L968" s="38"/>
      <c r="M968" s="38"/>
      <c r="N968" s="39"/>
      <c r="O968" s="38"/>
      <c r="P968" s="30"/>
      <c r="Q968" s="35"/>
      <c r="R968" s="31"/>
      <c r="S968" s="31"/>
      <c r="T968" s="31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F968" s="31"/>
      <c r="AG968" s="31"/>
      <c r="AH968" s="31"/>
      <c r="AI968" s="31"/>
      <c r="AJ968" s="31"/>
    </row>
    <row r="969" customFormat="false" ht="14.25" hidden="false" customHeight="true" outlineLevel="0" collapsed="false">
      <c r="A969" s="116"/>
      <c r="B969" s="19"/>
      <c r="C969" s="19"/>
      <c r="D969" s="36"/>
      <c r="E969" s="19"/>
      <c r="F969" s="37"/>
      <c r="G969" s="38"/>
      <c r="H969" s="38"/>
      <c r="I969" s="38"/>
      <c r="J969" s="38"/>
      <c r="K969" s="38"/>
      <c r="L969" s="38"/>
      <c r="M969" s="38"/>
      <c r="N969" s="39"/>
      <c r="O969" s="38"/>
      <c r="P969" s="30"/>
      <c r="Q969" s="35"/>
      <c r="R969" s="31"/>
      <c r="S969" s="31"/>
      <c r="T969" s="31"/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F969" s="31"/>
      <c r="AG969" s="31"/>
      <c r="AH969" s="31"/>
      <c r="AI969" s="31"/>
      <c r="AJ969" s="31"/>
    </row>
    <row r="970" customFormat="false" ht="14.25" hidden="false" customHeight="true" outlineLevel="0" collapsed="false">
      <c r="A970" s="116"/>
      <c r="B970" s="19"/>
      <c r="C970" s="19"/>
      <c r="D970" s="36"/>
      <c r="E970" s="19"/>
      <c r="F970" s="37"/>
      <c r="G970" s="38"/>
      <c r="H970" s="38"/>
      <c r="I970" s="38"/>
      <c r="J970" s="38"/>
      <c r="K970" s="38"/>
      <c r="L970" s="38"/>
      <c r="M970" s="38"/>
      <c r="N970" s="39"/>
      <c r="O970" s="38"/>
      <c r="P970" s="30"/>
      <c r="Q970" s="35"/>
      <c r="R970" s="31"/>
      <c r="S970" s="31"/>
      <c r="T970" s="31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F970" s="31"/>
      <c r="AG970" s="31"/>
      <c r="AH970" s="31"/>
      <c r="AI970" s="31"/>
      <c r="AJ970" s="31"/>
    </row>
    <row r="971" customFormat="false" ht="14.25" hidden="false" customHeight="true" outlineLevel="0" collapsed="false">
      <c r="A971" s="116"/>
      <c r="B971" s="19"/>
      <c r="C971" s="19"/>
      <c r="D971" s="36"/>
      <c r="E971" s="19"/>
      <c r="F971" s="37"/>
      <c r="G971" s="38"/>
      <c r="H971" s="38"/>
      <c r="I971" s="38"/>
      <c r="J971" s="38"/>
      <c r="K971" s="38"/>
      <c r="L971" s="38"/>
      <c r="M971" s="38"/>
      <c r="N971" s="39"/>
      <c r="O971" s="38"/>
      <c r="P971" s="30"/>
      <c r="Q971" s="35"/>
      <c r="R971" s="31"/>
      <c r="S971" s="31"/>
      <c r="T971" s="31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F971" s="31"/>
      <c r="AG971" s="31"/>
      <c r="AH971" s="31"/>
      <c r="AI971" s="31"/>
      <c r="AJ971" s="31"/>
    </row>
    <row r="972" customFormat="false" ht="14.25" hidden="false" customHeight="true" outlineLevel="0" collapsed="false">
      <c r="A972" s="116"/>
      <c r="B972" s="19"/>
      <c r="C972" s="19"/>
      <c r="D972" s="36"/>
      <c r="E972" s="19"/>
      <c r="F972" s="37"/>
      <c r="G972" s="38"/>
      <c r="H972" s="38"/>
      <c r="I972" s="38"/>
      <c r="J972" s="38"/>
      <c r="K972" s="38"/>
      <c r="L972" s="38"/>
      <c r="M972" s="38"/>
      <c r="N972" s="39"/>
      <c r="O972" s="38"/>
      <c r="P972" s="30"/>
      <c r="Q972" s="35"/>
      <c r="R972" s="31"/>
      <c r="S972" s="31"/>
      <c r="T972" s="31"/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F972" s="31"/>
      <c r="AG972" s="31"/>
      <c r="AH972" s="31"/>
      <c r="AI972" s="31"/>
      <c r="AJ972" s="31"/>
    </row>
    <row r="973" customFormat="false" ht="14.25" hidden="false" customHeight="true" outlineLevel="0" collapsed="false">
      <c r="A973" s="116"/>
      <c r="B973" s="19"/>
      <c r="C973" s="19"/>
      <c r="D973" s="36"/>
      <c r="E973" s="19"/>
      <c r="F973" s="37"/>
      <c r="G973" s="38"/>
      <c r="H973" s="38"/>
      <c r="I973" s="38"/>
      <c r="J973" s="38"/>
      <c r="K973" s="38"/>
      <c r="L973" s="38"/>
      <c r="M973" s="38"/>
      <c r="N973" s="39"/>
      <c r="O973" s="38"/>
      <c r="P973" s="30"/>
      <c r="Q973" s="35"/>
      <c r="R973" s="31"/>
      <c r="S973" s="31"/>
      <c r="T973" s="31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F973" s="31"/>
      <c r="AG973" s="31"/>
      <c r="AH973" s="31"/>
      <c r="AI973" s="31"/>
      <c r="AJ973" s="31"/>
    </row>
    <row r="974" customFormat="false" ht="14.25" hidden="false" customHeight="true" outlineLevel="0" collapsed="false">
      <c r="A974" s="116"/>
      <c r="B974" s="19"/>
      <c r="C974" s="19"/>
      <c r="D974" s="36"/>
      <c r="E974" s="19"/>
      <c r="F974" s="37"/>
      <c r="G974" s="38"/>
      <c r="H974" s="38"/>
      <c r="I974" s="38"/>
      <c r="J974" s="38"/>
      <c r="K974" s="38"/>
      <c r="L974" s="38"/>
      <c r="M974" s="38"/>
      <c r="N974" s="39"/>
      <c r="O974" s="38"/>
      <c r="P974" s="30"/>
      <c r="Q974" s="35"/>
      <c r="R974" s="31"/>
      <c r="S974" s="31"/>
      <c r="T974" s="31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F974" s="31"/>
      <c r="AG974" s="31"/>
      <c r="AH974" s="31"/>
      <c r="AI974" s="31"/>
      <c r="AJ974" s="31"/>
    </row>
    <row r="975" customFormat="false" ht="14.25" hidden="false" customHeight="true" outlineLevel="0" collapsed="false">
      <c r="A975" s="116"/>
      <c r="B975" s="19"/>
      <c r="C975" s="19"/>
      <c r="D975" s="36"/>
      <c r="E975" s="19"/>
      <c r="F975" s="37"/>
      <c r="G975" s="38"/>
      <c r="H975" s="38"/>
      <c r="I975" s="38"/>
      <c r="J975" s="38"/>
      <c r="K975" s="38"/>
      <c r="L975" s="38"/>
      <c r="M975" s="38"/>
      <c r="N975" s="39"/>
      <c r="O975" s="38"/>
      <c r="P975" s="30"/>
      <c r="Q975" s="35"/>
      <c r="R975" s="31"/>
      <c r="S975" s="31"/>
      <c r="T975" s="31"/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F975" s="31"/>
      <c r="AG975" s="31"/>
      <c r="AH975" s="31"/>
      <c r="AI975" s="31"/>
      <c r="AJ975" s="31"/>
    </row>
    <row r="976" customFormat="false" ht="14.25" hidden="false" customHeight="true" outlineLevel="0" collapsed="false">
      <c r="A976" s="116"/>
      <c r="B976" s="19"/>
      <c r="C976" s="19"/>
      <c r="D976" s="36"/>
      <c r="E976" s="19"/>
      <c r="F976" s="37"/>
      <c r="G976" s="38"/>
      <c r="H976" s="38"/>
      <c r="I976" s="38"/>
      <c r="J976" s="38"/>
      <c r="K976" s="38"/>
      <c r="L976" s="38"/>
      <c r="M976" s="38"/>
      <c r="N976" s="39"/>
      <c r="O976" s="38"/>
      <c r="P976" s="30"/>
      <c r="Q976" s="35"/>
      <c r="R976" s="31"/>
      <c r="S976" s="31"/>
      <c r="T976" s="31"/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F976" s="31"/>
      <c r="AG976" s="31"/>
      <c r="AH976" s="31"/>
      <c r="AI976" s="31"/>
      <c r="AJ976" s="31"/>
    </row>
    <row r="977" customFormat="false" ht="14.25" hidden="false" customHeight="true" outlineLevel="0" collapsed="false">
      <c r="A977" s="116"/>
      <c r="B977" s="19"/>
      <c r="C977" s="19"/>
      <c r="D977" s="36"/>
      <c r="E977" s="19"/>
      <c r="F977" s="37"/>
      <c r="G977" s="38"/>
      <c r="H977" s="38"/>
      <c r="I977" s="38"/>
      <c r="J977" s="38"/>
      <c r="K977" s="38"/>
      <c r="L977" s="38"/>
      <c r="M977" s="38"/>
      <c r="N977" s="39"/>
      <c r="O977" s="38"/>
      <c r="P977" s="30"/>
      <c r="Q977" s="35"/>
      <c r="R977" s="31"/>
      <c r="S977" s="31"/>
      <c r="T977" s="31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F977" s="31"/>
      <c r="AG977" s="31"/>
      <c r="AH977" s="31"/>
      <c r="AI977" s="31"/>
      <c r="AJ977" s="31"/>
    </row>
    <row r="978" customFormat="false" ht="14.25" hidden="false" customHeight="true" outlineLevel="0" collapsed="false">
      <c r="A978" s="116"/>
      <c r="B978" s="19"/>
      <c r="C978" s="19"/>
      <c r="D978" s="36"/>
      <c r="E978" s="19"/>
      <c r="F978" s="37"/>
      <c r="G978" s="38"/>
      <c r="H978" s="38"/>
      <c r="I978" s="38"/>
      <c r="J978" s="38"/>
      <c r="K978" s="38"/>
      <c r="L978" s="38"/>
      <c r="M978" s="38"/>
      <c r="N978" s="39"/>
      <c r="O978" s="38"/>
      <c r="P978" s="30"/>
      <c r="Q978" s="35"/>
      <c r="R978" s="31"/>
      <c r="S978" s="31"/>
      <c r="T978" s="31"/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F978" s="31"/>
      <c r="AG978" s="31"/>
      <c r="AH978" s="31"/>
      <c r="AI978" s="31"/>
      <c r="AJ978" s="31"/>
    </row>
    <row r="979" customFormat="false" ht="14.25" hidden="false" customHeight="true" outlineLevel="0" collapsed="false">
      <c r="A979" s="116"/>
      <c r="B979" s="19"/>
      <c r="C979" s="19"/>
      <c r="D979" s="36"/>
      <c r="E979" s="19"/>
      <c r="F979" s="37"/>
      <c r="G979" s="38"/>
      <c r="H979" s="38"/>
      <c r="I979" s="38"/>
      <c r="J979" s="38"/>
      <c r="K979" s="38"/>
      <c r="L979" s="38"/>
      <c r="M979" s="38"/>
      <c r="N979" s="39"/>
      <c r="O979" s="38"/>
      <c r="P979" s="30"/>
      <c r="Q979" s="35"/>
      <c r="R979" s="31"/>
      <c r="S979" s="31"/>
      <c r="T979" s="31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F979" s="31"/>
      <c r="AG979" s="31"/>
      <c r="AH979" s="31"/>
      <c r="AI979" s="31"/>
      <c r="AJ979" s="31"/>
    </row>
    <row r="980" customFormat="false" ht="14.25" hidden="false" customHeight="true" outlineLevel="0" collapsed="false">
      <c r="A980" s="116"/>
      <c r="B980" s="19"/>
      <c r="C980" s="19"/>
      <c r="D980" s="36"/>
      <c r="E980" s="19"/>
      <c r="F980" s="37"/>
      <c r="G980" s="38"/>
      <c r="H980" s="38"/>
      <c r="I980" s="38"/>
      <c r="J980" s="38"/>
      <c r="K980" s="38"/>
      <c r="L980" s="38"/>
      <c r="M980" s="38"/>
      <c r="N980" s="39"/>
      <c r="O980" s="38"/>
      <c r="P980" s="30"/>
      <c r="Q980" s="35"/>
      <c r="R980" s="31"/>
      <c r="S980" s="31"/>
      <c r="T980" s="31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F980" s="31"/>
      <c r="AG980" s="31"/>
      <c r="AH980" s="31"/>
      <c r="AI980" s="31"/>
      <c r="AJ980" s="31"/>
    </row>
    <row r="981" customFormat="false" ht="14.25" hidden="false" customHeight="true" outlineLevel="0" collapsed="false">
      <c r="A981" s="116"/>
      <c r="B981" s="19"/>
      <c r="C981" s="19"/>
      <c r="D981" s="36"/>
      <c r="E981" s="19"/>
      <c r="F981" s="37"/>
      <c r="G981" s="38"/>
      <c r="H981" s="38"/>
      <c r="I981" s="38"/>
      <c r="J981" s="38"/>
      <c r="K981" s="38"/>
      <c r="L981" s="38"/>
      <c r="M981" s="38"/>
      <c r="N981" s="39"/>
      <c r="O981" s="38"/>
      <c r="P981" s="30"/>
      <c r="Q981" s="35"/>
      <c r="R981" s="31"/>
      <c r="S981" s="31"/>
      <c r="T981" s="31"/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F981" s="31"/>
      <c r="AG981" s="31"/>
      <c r="AH981" s="31"/>
      <c r="AI981" s="31"/>
      <c r="AJ981" s="31"/>
    </row>
    <row r="982" customFormat="false" ht="14.25" hidden="false" customHeight="true" outlineLevel="0" collapsed="false">
      <c r="A982" s="116"/>
      <c r="B982" s="19"/>
      <c r="C982" s="19"/>
      <c r="D982" s="36"/>
      <c r="E982" s="19"/>
      <c r="F982" s="37"/>
      <c r="G982" s="38"/>
      <c r="H982" s="38"/>
      <c r="I982" s="38"/>
      <c r="J982" s="38"/>
      <c r="K982" s="38"/>
      <c r="L982" s="38"/>
      <c r="M982" s="38"/>
      <c r="N982" s="39"/>
      <c r="O982" s="38"/>
      <c r="P982" s="30"/>
      <c r="Q982" s="35"/>
      <c r="R982" s="31"/>
      <c r="S982" s="31"/>
      <c r="T982" s="31"/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F982" s="31"/>
      <c r="AG982" s="31"/>
      <c r="AH982" s="31"/>
      <c r="AI982" s="31"/>
      <c r="AJ982" s="31"/>
    </row>
    <row r="983" customFormat="false" ht="14.25" hidden="false" customHeight="true" outlineLevel="0" collapsed="false">
      <c r="A983" s="116"/>
      <c r="B983" s="19"/>
      <c r="C983" s="19"/>
      <c r="D983" s="36"/>
      <c r="E983" s="19"/>
      <c r="F983" s="37"/>
      <c r="G983" s="38"/>
      <c r="H983" s="38"/>
      <c r="I983" s="38"/>
      <c r="J983" s="38"/>
      <c r="K983" s="38"/>
      <c r="L983" s="38"/>
      <c r="M983" s="38"/>
      <c r="N983" s="39"/>
      <c r="O983" s="38"/>
      <c r="P983" s="30"/>
      <c r="Q983" s="35"/>
      <c r="R983" s="31"/>
      <c r="S983" s="31"/>
      <c r="T983" s="31"/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F983" s="31"/>
      <c r="AG983" s="31"/>
      <c r="AH983" s="31"/>
      <c r="AI983" s="31"/>
      <c r="AJ983" s="31"/>
    </row>
    <row r="984" customFormat="false" ht="14.25" hidden="false" customHeight="true" outlineLevel="0" collapsed="false">
      <c r="A984" s="116"/>
      <c r="B984" s="19"/>
      <c r="C984" s="19"/>
      <c r="D984" s="36"/>
      <c r="E984" s="19"/>
      <c r="F984" s="37"/>
      <c r="G984" s="38"/>
      <c r="H984" s="38"/>
      <c r="I984" s="38"/>
      <c r="J984" s="38"/>
      <c r="K984" s="38"/>
      <c r="L984" s="38"/>
      <c r="M984" s="38"/>
      <c r="N984" s="39"/>
      <c r="O984" s="38"/>
      <c r="P984" s="30"/>
      <c r="Q984" s="35"/>
      <c r="R984" s="31"/>
      <c r="S984" s="31"/>
      <c r="T984" s="31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F984" s="31"/>
      <c r="AG984" s="31"/>
      <c r="AH984" s="31"/>
      <c r="AI984" s="31"/>
      <c r="AJ984" s="31"/>
    </row>
    <row r="985" customFormat="false" ht="14.25" hidden="false" customHeight="true" outlineLevel="0" collapsed="false">
      <c r="A985" s="116"/>
      <c r="B985" s="19"/>
      <c r="C985" s="19"/>
      <c r="D985" s="36"/>
      <c r="E985" s="19"/>
      <c r="F985" s="37"/>
      <c r="G985" s="38"/>
      <c r="H985" s="38"/>
      <c r="I985" s="38"/>
      <c r="J985" s="38"/>
      <c r="K985" s="38"/>
      <c r="L985" s="38"/>
      <c r="M985" s="38"/>
      <c r="N985" s="39"/>
      <c r="O985" s="38"/>
      <c r="P985" s="30"/>
      <c r="Q985" s="35"/>
      <c r="R985" s="31"/>
      <c r="S985" s="31"/>
      <c r="T985" s="31"/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F985" s="31"/>
      <c r="AG985" s="31"/>
      <c r="AH985" s="31"/>
      <c r="AI985" s="31"/>
      <c r="AJ985" s="31"/>
    </row>
    <row r="986" customFormat="false" ht="14.25" hidden="false" customHeight="true" outlineLevel="0" collapsed="false">
      <c r="A986" s="116"/>
      <c r="B986" s="19"/>
      <c r="C986" s="19"/>
      <c r="D986" s="36"/>
      <c r="E986" s="19"/>
      <c r="F986" s="37"/>
      <c r="G986" s="38"/>
      <c r="H986" s="38"/>
      <c r="I986" s="38"/>
      <c r="J986" s="38"/>
      <c r="K986" s="38"/>
      <c r="L986" s="38"/>
      <c r="M986" s="38"/>
      <c r="N986" s="39"/>
      <c r="O986" s="38"/>
      <c r="P986" s="30"/>
      <c r="Q986" s="35"/>
      <c r="R986" s="31"/>
      <c r="S986" s="31"/>
      <c r="T986" s="31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F986" s="31"/>
      <c r="AG986" s="31"/>
      <c r="AH986" s="31"/>
      <c r="AI986" s="31"/>
      <c r="AJ986" s="31"/>
    </row>
    <row r="987" customFormat="false" ht="14.25" hidden="false" customHeight="true" outlineLevel="0" collapsed="false">
      <c r="A987" s="116"/>
      <c r="B987" s="19"/>
      <c r="C987" s="19"/>
      <c r="D987" s="36"/>
      <c r="E987" s="19"/>
      <c r="F987" s="37"/>
      <c r="G987" s="38"/>
      <c r="H987" s="38"/>
      <c r="I987" s="38"/>
      <c r="J987" s="38"/>
      <c r="K987" s="38"/>
      <c r="L987" s="38"/>
      <c r="M987" s="38"/>
      <c r="N987" s="39"/>
      <c r="O987" s="38"/>
      <c r="P987" s="30"/>
      <c r="Q987" s="35"/>
      <c r="R987" s="31"/>
      <c r="S987" s="31"/>
      <c r="T987" s="31"/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F987" s="31"/>
      <c r="AG987" s="31"/>
      <c r="AH987" s="31"/>
      <c r="AI987" s="31"/>
      <c r="AJ987" s="31"/>
    </row>
    <row r="988" customFormat="false" ht="14.25" hidden="false" customHeight="true" outlineLevel="0" collapsed="false">
      <c r="A988" s="116"/>
      <c r="B988" s="19"/>
      <c r="C988" s="19"/>
      <c r="D988" s="36"/>
      <c r="E988" s="19"/>
      <c r="F988" s="37"/>
      <c r="G988" s="38"/>
      <c r="H988" s="38"/>
      <c r="I988" s="38"/>
      <c r="J988" s="38"/>
      <c r="K988" s="38"/>
      <c r="L988" s="38"/>
      <c r="M988" s="38"/>
      <c r="N988" s="39"/>
      <c r="O988" s="38"/>
      <c r="P988" s="30"/>
      <c r="Q988" s="35"/>
      <c r="R988" s="31"/>
      <c r="S988" s="31"/>
      <c r="T988" s="31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F988" s="31"/>
      <c r="AG988" s="31"/>
      <c r="AH988" s="31"/>
      <c r="AI988" s="31"/>
      <c r="AJ988" s="31"/>
    </row>
    <row r="989" customFormat="false" ht="14.25" hidden="false" customHeight="true" outlineLevel="0" collapsed="false">
      <c r="A989" s="116"/>
      <c r="B989" s="19"/>
      <c r="C989" s="19"/>
      <c r="D989" s="36"/>
      <c r="E989" s="19"/>
      <c r="F989" s="37"/>
      <c r="G989" s="38"/>
      <c r="H989" s="38"/>
      <c r="I989" s="38"/>
      <c r="J989" s="38"/>
      <c r="K989" s="38"/>
      <c r="L989" s="38"/>
      <c r="M989" s="38"/>
      <c r="N989" s="39"/>
      <c r="O989" s="38"/>
      <c r="P989" s="30"/>
      <c r="Q989" s="35"/>
      <c r="R989" s="31"/>
      <c r="S989" s="31"/>
      <c r="T989" s="31"/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F989" s="31"/>
      <c r="AG989" s="31"/>
      <c r="AH989" s="31"/>
      <c r="AI989" s="31"/>
      <c r="AJ989" s="31"/>
    </row>
    <row r="990" customFormat="false" ht="14.25" hidden="false" customHeight="true" outlineLevel="0" collapsed="false">
      <c r="A990" s="116"/>
      <c r="B990" s="19"/>
      <c r="C990" s="19"/>
      <c r="D990" s="36"/>
      <c r="E990" s="19"/>
      <c r="F990" s="37"/>
      <c r="G990" s="38"/>
      <c r="H990" s="38"/>
      <c r="I990" s="38"/>
      <c r="J990" s="38"/>
      <c r="K990" s="38"/>
      <c r="L990" s="38"/>
      <c r="M990" s="38"/>
      <c r="N990" s="39"/>
      <c r="O990" s="38"/>
      <c r="P990" s="30"/>
      <c r="Q990" s="35"/>
      <c r="R990" s="31"/>
      <c r="S990" s="31"/>
      <c r="T990" s="31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F990" s="31"/>
      <c r="AG990" s="31"/>
      <c r="AH990" s="31"/>
      <c r="AI990" s="31"/>
      <c r="AJ990" s="31"/>
    </row>
    <row r="991" customFormat="false" ht="14.25" hidden="false" customHeight="true" outlineLevel="0" collapsed="false">
      <c r="A991" s="116"/>
      <c r="B991" s="19"/>
      <c r="C991" s="19"/>
      <c r="D991" s="36"/>
      <c r="E991" s="19"/>
      <c r="F991" s="37"/>
      <c r="G991" s="38"/>
      <c r="H991" s="38"/>
      <c r="I991" s="38"/>
      <c r="J991" s="38"/>
      <c r="K991" s="38"/>
      <c r="L991" s="38"/>
      <c r="M991" s="38"/>
      <c r="N991" s="39"/>
      <c r="O991" s="38"/>
      <c r="P991" s="30"/>
      <c r="Q991" s="35"/>
      <c r="R991" s="31"/>
      <c r="S991" s="31"/>
      <c r="T991" s="31"/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F991" s="31"/>
      <c r="AG991" s="31"/>
      <c r="AH991" s="31"/>
      <c r="AI991" s="31"/>
      <c r="AJ991" s="31"/>
    </row>
    <row r="992" customFormat="false" ht="14.25" hidden="false" customHeight="true" outlineLevel="0" collapsed="false">
      <c r="A992" s="116"/>
      <c r="B992" s="19"/>
      <c r="C992" s="19"/>
      <c r="D992" s="36"/>
      <c r="E992" s="19"/>
      <c r="F992" s="37"/>
      <c r="G992" s="38"/>
      <c r="H992" s="38"/>
      <c r="I992" s="38"/>
      <c r="J992" s="38"/>
      <c r="K992" s="38"/>
      <c r="L992" s="38"/>
      <c r="M992" s="38"/>
      <c r="N992" s="39"/>
      <c r="O992" s="38"/>
      <c r="P992" s="30"/>
      <c r="Q992" s="35"/>
      <c r="R992" s="31"/>
      <c r="S992" s="31"/>
      <c r="T992" s="31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F992" s="31"/>
      <c r="AG992" s="31"/>
      <c r="AH992" s="31"/>
      <c r="AI992" s="31"/>
      <c r="AJ992" s="31"/>
    </row>
    <row r="993" customFormat="false" ht="14.25" hidden="false" customHeight="true" outlineLevel="0" collapsed="false">
      <c r="A993" s="116"/>
      <c r="B993" s="19"/>
      <c r="C993" s="19"/>
      <c r="D993" s="36"/>
      <c r="E993" s="19"/>
      <c r="F993" s="37"/>
      <c r="G993" s="38"/>
      <c r="H993" s="38"/>
      <c r="I993" s="38"/>
      <c r="J993" s="38"/>
      <c r="K993" s="38"/>
      <c r="L993" s="38"/>
      <c r="M993" s="38"/>
      <c r="N993" s="39"/>
      <c r="O993" s="38"/>
      <c r="P993" s="30"/>
      <c r="Q993" s="35"/>
      <c r="R993" s="31"/>
      <c r="S993" s="31"/>
      <c r="T993" s="31"/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F993" s="31"/>
      <c r="AG993" s="31"/>
      <c r="AH993" s="31"/>
      <c r="AI993" s="31"/>
      <c r="AJ993" s="31"/>
    </row>
    <row r="994" customFormat="false" ht="14.25" hidden="false" customHeight="true" outlineLevel="0" collapsed="false">
      <c r="A994" s="116"/>
      <c r="B994" s="19"/>
      <c r="C994" s="19"/>
      <c r="D994" s="36"/>
      <c r="E994" s="19"/>
      <c r="F994" s="37"/>
      <c r="G994" s="38"/>
      <c r="H994" s="38"/>
      <c r="I994" s="38"/>
      <c r="J994" s="38"/>
      <c r="K994" s="38"/>
      <c r="L994" s="38"/>
      <c r="M994" s="38"/>
      <c r="N994" s="39"/>
      <c r="O994" s="38"/>
      <c r="P994" s="30"/>
      <c r="Q994" s="35"/>
      <c r="R994" s="31"/>
      <c r="S994" s="31"/>
      <c r="T994" s="31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F994" s="31"/>
      <c r="AG994" s="31"/>
      <c r="AH994" s="31"/>
      <c r="AI994" s="31"/>
      <c r="AJ994" s="31"/>
    </row>
    <row r="995" customFormat="false" ht="14.25" hidden="false" customHeight="true" outlineLevel="0" collapsed="false">
      <c r="A995" s="116"/>
      <c r="B995" s="19"/>
      <c r="C995" s="19"/>
      <c r="D995" s="36"/>
      <c r="E995" s="19"/>
      <c r="F995" s="37"/>
      <c r="G995" s="38"/>
      <c r="H995" s="38"/>
      <c r="I995" s="38"/>
      <c r="J995" s="38"/>
      <c r="K995" s="38"/>
      <c r="L995" s="38"/>
      <c r="M995" s="38"/>
      <c r="N995" s="39"/>
      <c r="O995" s="38"/>
      <c r="P995" s="30"/>
      <c r="Q995" s="35"/>
      <c r="R995" s="31"/>
      <c r="S995" s="31"/>
      <c r="T995" s="31"/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F995" s="31"/>
      <c r="AG995" s="31"/>
      <c r="AH995" s="31"/>
      <c r="AI995" s="31"/>
      <c r="AJ995" s="31"/>
    </row>
    <row r="996" customFormat="false" ht="14.25" hidden="false" customHeight="true" outlineLevel="0" collapsed="false">
      <c r="A996" s="116"/>
      <c r="B996" s="19"/>
      <c r="C996" s="19"/>
      <c r="D996" s="36"/>
      <c r="E996" s="19"/>
      <c r="F996" s="37"/>
      <c r="G996" s="38"/>
      <c r="H996" s="38"/>
      <c r="I996" s="38"/>
      <c r="J996" s="38"/>
      <c r="K996" s="38"/>
      <c r="L996" s="38"/>
      <c r="M996" s="38"/>
      <c r="N996" s="39"/>
      <c r="O996" s="38"/>
      <c r="P996" s="30"/>
      <c r="Q996" s="35"/>
      <c r="R996" s="31"/>
      <c r="S996" s="31"/>
      <c r="T996" s="31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F996" s="31"/>
      <c r="AG996" s="31"/>
      <c r="AH996" s="31"/>
      <c r="AI996" s="31"/>
      <c r="AJ996" s="31"/>
    </row>
    <row r="997" customFormat="false" ht="14.25" hidden="false" customHeight="true" outlineLevel="0" collapsed="false">
      <c r="A997" s="116"/>
      <c r="B997" s="19"/>
      <c r="C997" s="19"/>
      <c r="D997" s="36"/>
      <c r="E997" s="19"/>
      <c r="F997" s="37"/>
      <c r="G997" s="38"/>
      <c r="H997" s="38"/>
      <c r="I997" s="38"/>
      <c r="J997" s="38"/>
      <c r="K997" s="38"/>
      <c r="L997" s="38"/>
      <c r="M997" s="38"/>
      <c r="N997" s="39"/>
      <c r="O997" s="38"/>
      <c r="P997" s="30"/>
      <c r="Q997" s="35"/>
      <c r="R997" s="31"/>
      <c r="S997" s="31"/>
      <c r="T997" s="31"/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F997" s="31"/>
      <c r="AG997" s="31"/>
      <c r="AH997" s="31"/>
      <c r="AI997" s="31"/>
      <c r="AJ997" s="31"/>
    </row>
    <row r="998" customFormat="false" ht="14.25" hidden="false" customHeight="true" outlineLevel="0" collapsed="false">
      <c r="A998" s="116"/>
      <c r="B998" s="19"/>
      <c r="C998" s="19"/>
      <c r="D998" s="36"/>
      <c r="E998" s="19"/>
      <c r="F998" s="37"/>
      <c r="G998" s="38"/>
      <c r="H998" s="38"/>
      <c r="I998" s="38"/>
      <c r="J998" s="38"/>
      <c r="K998" s="38"/>
      <c r="L998" s="38"/>
      <c r="M998" s="38"/>
      <c r="N998" s="39"/>
      <c r="O998" s="38"/>
      <c r="P998" s="30"/>
      <c r="Q998" s="35"/>
      <c r="R998" s="31"/>
      <c r="S998" s="31"/>
      <c r="T998" s="31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F998" s="31"/>
      <c r="AG998" s="31"/>
      <c r="AH998" s="31"/>
      <c r="AI998" s="31"/>
      <c r="AJ998" s="31"/>
    </row>
    <row r="999" customFormat="false" ht="14.25" hidden="false" customHeight="true" outlineLevel="0" collapsed="false">
      <c r="A999" s="116"/>
      <c r="B999" s="19"/>
      <c r="C999" s="19"/>
      <c r="D999" s="36"/>
      <c r="E999" s="19"/>
      <c r="F999" s="37"/>
      <c r="G999" s="38"/>
      <c r="H999" s="38"/>
      <c r="I999" s="38"/>
      <c r="J999" s="38"/>
      <c r="K999" s="38"/>
      <c r="L999" s="38"/>
      <c r="M999" s="38"/>
      <c r="N999" s="39"/>
      <c r="O999" s="38"/>
      <c r="P999" s="30"/>
      <c r="Q999" s="35"/>
      <c r="R999" s="31"/>
      <c r="S999" s="31"/>
      <c r="T999" s="31"/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F999" s="31"/>
      <c r="AG999" s="31"/>
      <c r="AH999" s="31"/>
      <c r="AI999" s="31"/>
      <c r="AJ999" s="31"/>
    </row>
    <row r="1000" customFormat="false" ht="14.25" hidden="false" customHeight="true" outlineLevel="0" collapsed="false">
      <c r="A1000" s="116"/>
      <c r="B1000" s="19"/>
      <c r="C1000" s="19"/>
      <c r="D1000" s="36"/>
      <c r="E1000" s="19"/>
      <c r="F1000" s="37"/>
      <c r="G1000" s="38"/>
      <c r="H1000" s="38"/>
      <c r="I1000" s="38"/>
      <c r="J1000" s="38"/>
      <c r="K1000" s="38"/>
      <c r="L1000" s="38"/>
      <c r="M1000" s="38"/>
      <c r="N1000" s="39"/>
      <c r="O1000" s="38"/>
      <c r="P1000" s="30"/>
      <c r="Q1000" s="35"/>
      <c r="R1000" s="31"/>
      <c r="S1000" s="31"/>
      <c r="T1000" s="31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F1000" s="31"/>
      <c r="AG1000" s="31"/>
      <c r="AH1000" s="31"/>
      <c r="AI1000" s="31"/>
      <c r="AJ1000" s="31"/>
    </row>
  </sheetData>
  <mergeCells count="28">
    <mergeCell ref="C1:O1"/>
    <mergeCell ref="A2:C11"/>
    <mergeCell ref="D2:O2"/>
    <mergeCell ref="D3:O3"/>
    <mergeCell ref="D4:O4"/>
    <mergeCell ref="D5:O5"/>
    <mergeCell ref="D7:O7"/>
    <mergeCell ref="O8:P8"/>
    <mergeCell ref="O9:P9"/>
    <mergeCell ref="O10:P10"/>
    <mergeCell ref="O11:P11"/>
    <mergeCell ref="O12:P12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</mergeCells>
  <printOptions headings="false" gridLines="false" gridLinesSet="true" horizontalCentered="false" verticalCentered="false"/>
  <pageMargins left="0.39375" right="0.39375" top="0.7875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4EA6B"/>
    <pageSetUpPr fitToPage="tru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40625" defaultRowHeight="15" zeroHeight="false" outlineLevelRow="0" outlineLevelCol="0"/>
  <cols>
    <col collapsed="false" customWidth="true" hidden="false" outlineLevel="0" max="1" min="1" style="0" width="10.25"/>
    <col collapsed="false" customWidth="true" hidden="false" outlineLevel="0" max="2" min="2" style="0" width="81.62"/>
    <col collapsed="false" customWidth="true" hidden="false" outlineLevel="0" max="3" min="3" style="0" width="20.37"/>
    <col collapsed="false" customWidth="true" hidden="false" outlineLevel="0" max="4" min="4" style="0" width="12.75"/>
    <col collapsed="false" customWidth="true" hidden="false" outlineLevel="0" max="7" min="5" style="0" width="14.24"/>
    <col collapsed="false" customWidth="true" hidden="false" outlineLevel="0" max="8" min="8" style="0" width="17.38"/>
    <col collapsed="false" customWidth="true" hidden="false" outlineLevel="0" max="9" min="9" style="0" width="14.24"/>
    <col collapsed="false" customWidth="true" hidden="false" outlineLevel="0" max="10" min="10" style="0" width="17.38"/>
    <col collapsed="false" customWidth="true" hidden="false" outlineLevel="0" max="11" min="11" style="0" width="14.24"/>
    <col collapsed="false" customWidth="true" hidden="false" outlineLevel="0" max="12" min="12" style="0" width="17.74"/>
    <col collapsed="false" customWidth="true" hidden="false" outlineLevel="0" max="13" min="13" style="0" width="14.24"/>
    <col collapsed="false" customWidth="true" hidden="false" outlineLevel="0" max="14" min="14" style="0" width="20.76"/>
    <col collapsed="false" customWidth="true" hidden="false" outlineLevel="0" max="15" min="15" style="0" width="14.24"/>
    <col collapsed="false" customWidth="true" hidden="false" outlineLevel="0" max="16" min="16" style="0" width="17.38"/>
    <col collapsed="false" customWidth="true" hidden="false" outlineLevel="0" max="17" min="17" style="0" width="14.24"/>
    <col collapsed="false" customWidth="true" hidden="false" outlineLevel="0" max="18" min="18" style="0" width="17.88"/>
    <col collapsed="false" customWidth="true" hidden="false" outlineLevel="0" max="19" min="19" style="0" width="14.24"/>
    <col collapsed="false" customWidth="true" hidden="false" outlineLevel="0" max="26" min="20" style="0" width="8.63"/>
  </cols>
  <sheetData>
    <row r="1" customFormat="false" ht="14.25" hidden="false" customHeight="true" outlineLevel="0" collapsed="false">
      <c r="A1" s="117"/>
      <c r="B1" s="21"/>
      <c r="C1" s="118"/>
      <c r="D1" s="117"/>
      <c r="E1" s="119"/>
      <c r="F1" s="120"/>
      <c r="G1" s="119"/>
      <c r="H1" s="120"/>
      <c r="I1" s="119"/>
      <c r="J1" s="120"/>
      <c r="K1" s="119"/>
      <c r="L1" s="120"/>
      <c r="M1" s="119"/>
      <c r="N1" s="120"/>
      <c r="O1" s="119"/>
      <c r="P1" s="120"/>
      <c r="Q1" s="1"/>
      <c r="R1" s="1"/>
      <c r="S1" s="1"/>
      <c r="T1" s="1"/>
      <c r="U1" s="1"/>
      <c r="V1" s="1"/>
      <c r="W1" s="1"/>
      <c r="X1" s="1"/>
      <c r="Y1" s="1"/>
      <c r="Z1" s="1"/>
    </row>
    <row r="2" customFormat="false" ht="14.25" hidden="false" customHeight="true" outlineLevel="0" collapsed="false">
      <c r="A2" s="1"/>
      <c r="B2" s="121" t="str">
        <f aca="false">FOLHA_ROSTO!$B$11</f>
        <v>UNIVERSIDADE FEDERAL DA FRONTEIRA SUL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4.25" hidden="false" customHeight="true" outlineLevel="0" collapsed="false">
      <c r="A3" s="1"/>
      <c r="B3" s="121" t="str">
        <f aca="false">FOLHA_ROSTO!$B$13</f>
        <v>CAMPUS LARANJEIRAS DO SUL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customFormat="false" ht="14.25" hidden="false" customHeight="true" outlineLevel="0" collapsed="false">
      <c r="A4" s="1"/>
      <c r="B4" s="121" t="str">
        <f aca="false">FOLHA_ROSTO!$B$17</f>
        <v>LARANJEIRAS DO SUL – PR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customFormat="false" ht="14.25" hidden="false" customHeight="true" outlineLevel="0" collapsed="false">
      <c r="A5" s="1"/>
      <c r="B5" s="121" t="str">
        <f aca="false">FOLHA_ROSTO!$B$6</f>
        <v>COMPLEMENTAÇÃO DOS ESTACIONAMENTOS ACESSÍVEIS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customFormat="false" ht="14.25" hidden="false" customHeight="true" outlineLevel="0" collapsed="false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customFormat="false" ht="14.25" hidden="false" customHeight="true" outlineLevel="0" collapsed="false">
      <c r="A7" s="1"/>
      <c r="B7" s="121" t="s">
        <v>261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customFormat="false" ht="14.2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 t="s">
        <v>262</v>
      </c>
      <c r="S8" s="1" t="s">
        <v>263</v>
      </c>
      <c r="T8" s="1"/>
      <c r="U8" s="1"/>
      <c r="V8" s="1"/>
      <c r="W8" s="1"/>
      <c r="X8" s="1"/>
      <c r="Y8" s="1"/>
      <c r="Z8" s="1"/>
    </row>
    <row r="9" customFormat="false" ht="14.25" hidden="false" customHeight="true" outlineLevel="0" collapsed="false">
      <c r="A9" s="122" t="s">
        <v>31</v>
      </c>
      <c r="B9" s="123" t="s">
        <v>34</v>
      </c>
      <c r="C9" s="124" t="s">
        <v>264</v>
      </c>
      <c r="D9" s="122" t="s">
        <v>46</v>
      </c>
      <c r="E9" s="125" t="s">
        <v>265</v>
      </c>
      <c r="F9" s="125"/>
      <c r="G9" s="126" t="s">
        <v>266</v>
      </c>
      <c r="H9" s="126"/>
      <c r="I9" s="125" t="s">
        <v>267</v>
      </c>
      <c r="J9" s="125"/>
      <c r="K9" s="126" t="s">
        <v>268</v>
      </c>
      <c r="L9" s="126"/>
      <c r="M9" s="125" t="s">
        <v>269</v>
      </c>
      <c r="N9" s="125"/>
      <c r="O9" s="126" t="s">
        <v>270</v>
      </c>
      <c r="P9" s="126"/>
      <c r="Q9" s="1"/>
      <c r="R9" s="1" t="n">
        <f aca="false">0</f>
        <v>0</v>
      </c>
      <c r="S9" s="127" t="n">
        <f aca="false">0%</f>
        <v>0</v>
      </c>
      <c r="T9" s="1"/>
      <c r="U9" s="1"/>
      <c r="V9" s="1"/>
      <c r="W9" s="1"/>
      <c r="X9" s="1"/>
      <c r="Y9" s="1"/>
      <c r="Z9" s="1"/>
    </row>
    <row r="10" customFormat="false" ht="14.25" hidden="false" customHeight="true" outlineLevel="0" collapsed="false">
      <c r="A10" s="122"/>
      <c r="B10" s="122"/>
      <c r="C10" s="122"/>
      <c r="D10" s="122"/>
      <c r="E10" s="125" t="s">
        <v>271</v>
      </c>
      <c r="F10" s="128" t="s">
        <v>272</v>
      </c>
      <c r="G10" s="126" t="s">
        <v>271</v>
      </c>
      <c r="H10" s="129" t="s">
        <v>272</v>
      </c>
      <c r="I10" s="125" t="s">
        <v>271</v>
      </c>
      <c r="J10" s="128" t="s">
        <v>272</v>
      </c>
      <c r="K10" s="126" t="s">
        <v>271</v>
      </c>
      <c r="L10" s="129" t="s">
        <v>272</v>
      </c>
      <c r="M10" s="125" t="s">
        <v>271</v>
      </c>
      <c r="N10" s="128" t="s">
        <v>272</v>
      </c>
      <c r="O10" s="126" t="s">
        <v>271</v>
      </c>
      <c r="P10" s="129" t="s">
        <v>272</v>
      </c>
      <c r="Q10" s="1"/>
      <c r="R10" s="1" t="n">
        <v>1</v>
      </c>
      <c r="S10" s="127" t="n">
        <f aca="false">$E$22</f>
        <v>0.0290292928984593</v>
      </c>
      <c r="T10" s="1"/>
      <c r="U10" s="1"/>
      <c r="V10" s="1"/>
      <c r="W10" s="1"/>
      <c r="X10" s="1"/>
      <c r="Y10" s="1"/>
      <c r="Z10" s="1"/>
    </row>
    <row r="11" customFormat="false" ht="14.25" hidden="false" customHeight="true" outlineLevel="0" collapsed="false">
      <c r="A11" s="130"/>
      <c r="B11" s="131"/>
      <c r="C11" s="132"/>
      <c r="D11" s="133"/>
      <c r="E11" s="134"/>
      <c r="F11" s="135"/>
      <c r="G11" s="134"/>
      <c r="H11" s="135"/>
      <c r="I11" s="134"/>
      <c r="J11" s="135"/>
      <c r="K11" s="134"/>
      <c r="L11" s="135"/>
      <c r="M11" s="134"/>
      <c r="N11" s="135"/>
      <c r="O11" s="134"/>
      <c r="P11" s="135"/>
      <c r="Q11" s="1"/>
      <c r="R11" s="1" t="n">
        <v>2</v>
      </c>
      <c r="S11" s="127" t="n">
        <f aca="false">$G$22+$S$10</f>
        <v>0.199196590907486</v>
      </c>
      <c r="T11" s="1"/>
      <c r="U11" s="1"/>
      <c r="V11" s="1"/>
      <c r="W11" s="1"/>
      <c r="X11" s="1"/>
      <c r="Y11" s="1"/>
      <c r="Z11" s="1"/>
    </row>
    <row r="12" customFormat="false" ht="14.25" hidden="false" customHeight="true" outlineLevel="0" collapsed="false">
      <c r="A12" s="136" t="str">
        <f aca="false">ORCAMENTO!$A$16</f>
        <v>1</v>
      </c>
      <c r="B12" s="137" t="str">
        <f aca="false">ORCAMENTO!$D$16</f>
        <v>PROJETOS E TAXAS</v>
      </c>
      <c r="C12" s="138" t="n">
        <f aca="false">ORCAMENTO!$O$16</f>
        <v>619.07</v>
      </c>
      <c r="D12" s="134" t="n">
        <f aca="false">ORCAMENTO!$P$16</f>
        <v>0.00171481459147195</v>
      </c>
      <c r="E12" s="134" t="n">
        <v>1</v>
      </c>
      <c r="F12" s="135" t="n">
        <f aca="false">$C$12*$E$12</f>
        <v>619.07</v>
      </c>
      <c r="G12" s="134"/>
      <c r="H12" s="135" t="n">
        <f aca="false">$C$12*$G$12</f>
        <v>0</v>
      </c>
      <c r="I12" s="134"/>
      <c r="J12" s="135" t="n">
        <f aca="false">$C$12*$I$12</f>
        <v>0</v>
      </c>
      <c r="K12" s="134"/>
      <c r="L12" s="135" t="n">
        <f aca="false">$C$12*$K$12</f>
        <v>0</v>
      </c>
      <c r="M12" s="134"/>
      <c r="N12" s="135" t="n">
        <f aca="false">$C$12*$M$12</f>
        <v>0</v>
      </c>
      <c r="O12" s="134" t="n">
        <f aca="false">1-($E$12+$G$12+$I$12+$K$12+$M$12+0)</f>
        <v>0</v>
      </c>
      <c r="P12" s="135" t="n">
        <f aca="false">$C$12*$O$12</f>
        <v>0</v>
      </c>
      <c r="Q12" s="1"/>
      <c r="R12" s="1" t="n">
        <v>3</v>
      </c>
      <c r="S12" s="127" t="n">
        <f aca="false">$I$22+$S$11</f>
        <v>0.664769302392306</v>
      </c>
      <c r="T12" s="1"/>
      <c r="U12" s="1"/>
      <c r="V12" s="1"/>
      <c r="W12" s="1"/>
      <c r="X12" s="1"/>
      <c r="Y12" s="1"/>
      <c r="Z12" s="1"/>
    </row>
    <row r="13" customFormat="false" ht="14.25" hidden="false" customHeight="true" outlineLevel="0" collapsed="false">
      <c r="A13" s="136" t="str">
        <f aca="false">ORCAMENTO!$A$23</f>
        <v>2</v>
      </c>
      <c r="B13" s="137" t="str">
        <f aca="false">ORCAMENTO!$D$23</f>
        <v>SERVIÇOS PRELIMINARES / TÉCNICOS</v>
      </c>
      <c r="C13" s="138" t="n">
        <f aca="false">ORCAMENTO!$O$23</f>
        <v>20280.63</v>
      </c>
      <c r="D13" s="134" t="n">
        <f aca="false">ORCAMENTO!$P$23</f>
        <v>0.0561770401541729</v>
      </c>
      <c r="E13" s="134" t="n">
        <v>0.1667</v>
      </c>
      <c r="F13" s="135" t="n">
        <f aca="false">$C$13*$E$13</f>
        <v>3380.781021</v>
      </c>
      <c r="G13" s="134" t="n">
        <v>0.1667</v>
      </c>
      <c r="H13" s="135" t="n">
        <f aca="false">$C$13*$G$13</f>
        <v>3380.781021</v>
      </c>
      <c r="I13" s="134" t="n">
        <v>0.1667</v>
      </c>
      <c r="J13" s="135" t="n">
        <f aca="false">$C$13*$I$13</f>
        <v>3380.781021</v>
      </c>
      <c r="K13" s="134" t="n">
        <v>0.1667</v>
      </c>
      <c r="L13" s="135" t="n">
        <f aca="false">$C$13*$K$13</f>
        <v>3380.781021</v>
      </c>
      <c r="M13" s="134" t="n">
        <v>0.1667</v>
      </c>
      <c r="N13" s="135" t="n">
        <f aca="false">$C$13*$M$13</f>
        <v>3380.781021</v>
      </c>
      <c r="O13" s="134" t="n">
        <f aca="false">1-($E$13+$G$13+$I$13+$K$13+$M$13+0)</f>
        <v>0.1665</v>
      </c>
      <c r="P13" s="135" t="n">
        <f aca="false">$C$13*$O$13</f>
        <v>3376.724895</v>
      </c>
      <c r="Q13" s="1"/>
      <c r="R13" s="1" t="n">
        <v>4</v>
      </c>
      <c r="S13" s="127" t="n">
        <f aca="false">$K$22+$S$12</f>
        <v>0.873190383598321</v>
      </c>
      <c r="T13" s="1"/>
      <c r="U13" s="1"/>
      <c r="V13" s="1"/>
      <c r="W13" s="1"/>
      <c r="X13" s="1"/>
      <c r="Y13" s="1"/>
      <c r="Z13" s="1"/>
    </row>
    <row r="14" customFormat="false" ht="14.25" hidden="false" customHeight="true" outlineLevel="0" collapsed="false">
      <c r="A14" s="136" t="str">
        <f aca="false">ORCAMENTO!$A$48</f>
        <v>3</v>
      </c>
      <c r="B14" s="137" t="str">
        <f aca="false">ORCAMENTO!$D$48</f>
        <v>MOVIMENTO DE TERRA – BLOCO DE PROFESSORES</v>
      </c>
      <c r="C14" s="138" t="n">
        <f aca="false">ORCAMENTO!$O$48</f>
        <v>12960.19</v>
      </c>
      <c r="D14" s="134" t="n">
        <f aca="false">ORCAMENTO!$P$48</f>
        <v>0.0358995314265735</v>
      </c>
      <c r="E14" s="134" t="n">
        <v>0.5</v>
      </c>
      <c r="F14" s="135" t="n">
        <f aca="false">$C$14*$E$14</f>
        <v>6480.095</v>
      </c>
      <c r="G14" s="134" t="n">
        <v>0.5</v>
      </c>
      <c r="H14" s="135" t="n">
        <f aca="false">$C$14*$G$14</f>
        <v>6480.095</v>
      </c>
      <c r="I14" s="134"/>
      <c r="J14" s="135" t="n">
        <f aca="false">$C$14*$I$14</f>
        <v>0</v>
      </c>
      <c r="K14" s="134"/>
      <c r="L14" s="135" t="n">
        <f aca="false">$C$14*$K$14</f>
        <v>0</v>
      </c>
      <c r="M14" s="134"/>
      <c r="N14" s="135" t="n">
        <f aca="false">$C$14*$M$14</f>
        <v>0</v>
      </c>
      <c r="O14" s="134" t="n">
        <f aca="false">1-($E$14+$G$14+$I$14+$K$14+$M$14+0)</f>
        <v>0</v>
      </c>
      <c r="P14" s="135" t="n">
        <f aca="false">$C$14*$O$14</f>
        <v>0</v>
      </c>
      <c r="Q14" s="1"/>
      <c r="R14" s="1" t="n">
        <v>5</v>
      </c>
      <c r="S14" s="127" t="n">
        <f aca="false">$M$22+$S$13</f>
        <v>0.984224091077216</v>
      </c>
      <c r="T14" s="1"/>
      <c r="U14" s="1"/>
      <c r="V14" s="1"/>
      <c r="W14" s="1"/>
      <c r="X14" s="1"/>
      <c r="Y14" s="1"/>
      <c r="Z14" s="1"/>
    </row>
    <row r="15" customFormat="false" ht="14.25" hidden="false" customHeight="true" outlineLevel="0" collapsed="false">
      <c r="A15" s="136" t="str">
        <f aca="false">ORCAMENTO!$A$61</f>
        <v>4</v>
      </c>
      <c r="B15" s="137" t="str">
        <f aca="false">ORCAMENTO!$D$61</f>
        <v>PAVIMENTAÇÃO – BLOCO DE PROFESSORES</v>
      </c>
      <c r="C15" s="138" t="n">
        <f aca="false">ORCAMENTO!$O$61</f>
        <v>169389.5</v>
      </c>
      <c r="D15" s="134" t="n">
        <f aca="false">ORCAMENTO!$P$61</f>
        <v>0.469206368007072</v>
      </c>
      <c r="E15" s="134"/>
      <c r="F15" s="135" t="n">
        <f aca="false">$C$15*$E$15</f>
        <v>0</v>
      </c>
      <c r="G15" s="134" t="n">
        <v>0.25</v>
      </c>
      <c r="H15" s="135" t="n">
        <f aca="false">$C$15*$G$15</f>
        <v>42347.375</v>
      </c>
      <c r="I15" s="134" t="n">
        <v>0.75</v>
      </c>
      <c r="J15" s="135" t="n">
        <f aca="false">$C$15*$I$15</f>
        <v>127042.125</v>
      </c>
      <c r="K15" s="134"/>
      <c r="L15" s="135" t="n">
        <f aca="false">$C$15*$K$15</f>
        <v>0</v>
      </c>
      <c r="M15" s="134"/>
      <c r="N15" s="135" t="n">
        <f aca="false">$C$15*$M$15</f>
        <v>0</v>
      </c>
      <c r="O15" s="134" t="n">
        <f aca="false">1-($E$15+$G$15+$I$15+$K$15+$M$15+0)</f>
        <v>0</v>
      </c>
      <c r="P15" s="135" t="n">
        <f aca="false">$C$15*$O$15</f>
        <v>0</v>
      </c>
      <c r="Q15" s="1"/>
      <c r="R15" s="1" t="n">
        <v>6</v>
      </c>
      <c r="S15" s="127" t="n">
        <f aca="false">$O$22+$S$14</f>
        <v>1</v>
      </c>
      <c r="T15" s="1"/>
      <c r="U15" s="1"/>
      <c r="V15" s="1"/>
      <c r="W15" s="1"/>
      <c r="X15" s="1"/>
      <c r="Y15" s="1"/>
      <c r="Z15" s="1"/>
    </row>
    <row r="16" customFormat="false" ht="14.25" hidden="false" customHeight="true" outlineLevel="0" collapsed="false">
      <c r="A16" s="136" t="str">
        <f aca="false">ORCAMENTO!$A$112</f>
        <v>5</v>
      </c>
      <c r="B16" s="137" t="str">
        <f aca="false">ORCAMENTO!$D$112</f>
        <v>MOVIMENTO DE TERRA – LABORATÓRIOS</v>
      </c>
      <c r="C16" s="138" t="n">
        <f aca="false">ORCAMENTO!$O$112</f>
        <v>9224.32</v>
      </c>
      <c r="D16" s="134" t="n">
        <f aca="false">ORCAMENTO!$P$112</f>
        <v>0.0255512277002707</v>
      </c>
      <c r="E16" s="134"/>
      <c r="F16" s="135" t="n">
        <f aca="false">$C$16*$E$16</f>
        <v>0</v>
      </c>
      <c r="G16" s="134" t="n">
        <v>1</v>
      </c>
      <c r="H16" s="135" t="n">
        <f aca="false">$C$16*$G$16</f>
        <v>9224.32</v>
      </c>
      <c r="I16" s="134"/>
      <c r="J16" s="135" t="n">
        <f aca="false">$C$16*$I$16</f>
        <v>0</v>
      </c>
      <c r="K16" s="134"/>
      <c r="L16" s="135" t="n">
        <f aca="false">$C$16*$K$16</f>
        <v>0</v>
      </c>
      <c r="M16" s="134"/>
      <c r="N16" s="135" t="n">
        <f aca="false">$C$16*$M$16</f>
        <v>0</v>
      </c>
      <c r="O16" s="134" t="n">
        <f aca="false">1-($E$16+$G$16+$I$16+$K$16+$M$16+0)</f>
        <v>0</v>
      </c>
      <c r="P16" s="135" t="n">
        <f aca="false">$C$16*$O$16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customFormat="false" ht="14.25" hidden="false" customHeight="true" outlineLevel="0" collapsed="false">
      <c r="A17" s="136" t="str">
        <f aca="false">ORCAMENTO!$A$124</f>
        <v>6</v>
      </c>
      <c r="B17" s="137" t="str">
        <f aca="false">ORCAMENTO!$D$124</f>
        <v>PAVIMENTAÇÃO – LABORATÓRIOS</v>
      </c>
      <c r="C17" s="138" t="n">
        <f aca="false">ORCAMENTO!$O$124</f>
        <v>97396.08</v>
      </c>
      <c r="D17" s="134" t="n">
        <f aca="false">ORCAMENTO!$P$124</f>
        <v>0.269785677122409</v>
      </c>
      <c r="E17" s="134"/>
      <c r="F17" s="135" t="n">
        <f aca="false">$C$17*$E$17</f>
        <v>0</v>
      </c>
      <c r="G17" s="134"/>
      <c r="H17" s="135" t="n">
        <f aca="false">$C$17*$G$17</f>
        <v>0</v>
      </c>
      <c r="I17" s="134" t="n">
        <v>0.25</v>
      </c>
      <c r="J17" s="135" t="n">
        <f aca="false">$C$17*$I$17</f>
        <v>24349.02</v>
      </c>
      <c r="K17" s="134" t="n">
        <v>0.5</v>
      </c>
      <c r="L17" s="135" t="n">
        <f aca="false">$C$17*$K$17</f>
        <v>48698.04</v>
      </c>
      <c r="M17" s="134" t="n">
        <v>0.25</v>
      </c>
      <c r="N17" s="135" t="n">
        <f aca="false">$C$17*$M$17</f>
        <v>24349.02</v>
      </c>
      <c r="O17" s="134" t="n">
        <f aca="false">1-($E$17+$G$17+$I$17+$K$17+$M$17+0)</f>
        <v>0</v>
      </c>
      <c r="P17" s="135" t="n">
        <f aca="false">$C$17*$O$17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customFormat="false" ht="14.25" hidden="false" customHeight="true" outlineLevel="0" collapsed="false">
      <c r="A18" s="136" t="str">
        <f aca="false">ORCAMENTO!$A$169</f>
        <v>7</v>
      </c>
      <c r="B18" s="137" t="str">
        <f aca="false">ORCAMENTO!$D$169</f>
        <v>MOVIMENTO DE TERRA – RU</v>
      </c>
      <c r="C18" s="138" t="n">
        <f aca="false">ORCAMENTO!$O$169</f>
        <v>1723.85</v>
      </c>
      <c r="D18" s="134" t="n">
        <f aca="false">ORCAMENTO!$P$169</f>
        <v>0.00477503857965808</v>
      </c>
      <c r="E18" s="134"/>
      <c r="F18" s="135" t="n">
        <f aca="false">$C$18*$E$18</f>
        <v>0</v>
      </c>
      <c r="G18" s="134"/>
      <c r="H18" s="135" t="n">
        <f aca="false">$C$18*$G$18</f>
        <v>0</v>
      </c>
      <c r="I18" s="134" t="n">
        <v>1</v>
      </c>
      <c r="J18" s="135" t="n">
        <f aca="false">$C$18*$I$18</f>
        <v>1723.85</v>
      </c>
      <c r="K18" s="134"/>
      <c r="L18" s="135" t="n">
        <f aca="false">$C$18*$K$18</f>
        <v>0</v>
      </c>
      <c r="M18" s="134"/>
      <c r="N18" s="135" t="n">
        <f aca="false">$C$18*$M$18</f>
        <v>0</v>
      </c>
      <c r="O18" s="134" t="n">
        <f aca="false">1-($E$18+$G$18+$I$18+$K$18+$M$18+0)</f>
        <v>0</v>
      </c>
      <c r="P18" s="135" t="n">
        <f aca="false">$C$18*$O$18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customFormat="false" ht="14.25" hidden="false" customHeight="true" outlineLevel="0" collapsed="false">
      <c r="A19" s="136" t="str">
        <f aca="false">ORCAMENTO!$A$180</f>
        <v>8</v>
      </c>
      <c r="B19" s="137" t="str">
        <f aca="false">ORCAMENTO!$D$180</f>
        <v>PAVIMENTAÇÃO – RU</v>
      </c>
      <c r="C19" s="138" t="n">
        <f aca="false">ORCAMENTO!$O$180</f>
        <v>46327.71</v>
      </c>
      <c r="D19" s="134" t="n">
        <f aca="false">ORCAMENTO!$P$180</f>
        <v>0.12832706010222</v>
      </c>
      <c r="E19" s="134"/>
      <c r="F19" s="135" t="n">
        <f aca="false">$C$19*$E$19</f>
        <v>0</v>
      </c>
      <c r="G19" s="134"/>
      <c r="H19" s="135" t="n">
        <f aca="false">$C$19*$G$19</f>
        <v>0</v>
      </c>
      <c r="I19" s="134" t="n">
        <v>0.25</v>
      </c>
      <c r="J19" s="135" t="n">
        <f aca="false">$C$19*$I$19</f>
        <v>11581.9275</v>
      </c>
      <c r="K19" s="134" t="n">
        <v>0.5</v>
      </c>
      <c r="L19" s="135" t="n">
        <f aca="false">$C$19*$K$19</f>
        <v>23163.855</v>
      </c>
      <c r="M19" s="134" t="n">
        <v>0.25</v>
      </c>
      <c r="N19" s="135" t="n">
        <f aca="false">$C$19*$M$19</f>
        <v>11581.9275</v>
      </c>
      <c r="O19" s="134" t="n">
        <f aca="false">1-($E$19+$G$19+$I$19+$K$19+$M$19+0)</f>
        <v>0</v>
      </c>
      <c r="P19" s="135" t="n">
        <f aca="false">$C$19*$O$19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customFormat="false" ht="14.25" hidden="false" customHeight="true" outlineLevel="0" collapsed="false">
      <c r="A20" s="136" t="str">
        <f aca="false">ORCAMENTO!$A$230</f>
        <v>9</v>
      </c>
      <c r="B20" s="137" t="str">
        <f aca="false">ORCAMENTO!$D$230</f>
        <v>SERVIÇOS COMPLEMENTARES</v>
      </c>
      <c r="C20" s="138" t="n">
        <f aca="false">ORCAMENTO!$O$230</f>
        <v>3091.44</v>
      </c>
      <c r="D20" s="134" t="n">
        <f aca="false">ORCAMENTO!$P$230</f>
        <v>0.00856324231615173</v>
      </c>
      <c r="E20" s="134"/>
      <c r="F20" s="135" t="n">
        <f aca="false">$C$20*$E$20</f>
        <v>0</v>
      </c>
      <c r="G20" s="134"/>
      <c r="H20" s="135" t="n">
        <f aca="false">$C$20*$G$20</f>
        <v>0</v>
      </c>
      <c r="I20" s="134"/>
      <c r="J20" s="135" t="n">
        <f aca="false">$C$20*$I$20</f>
        <v>0</v>
      </c>
      <c r="K20" s="134"/>
      <c r="L20" s="135" t="n">
        <f aca="false">$C$20*$K$20</f>
        <v>0</v>
      </c>
      <c r="M20" s="134" t="n">
        <v>0.25</v>
      </c>
      <c r="N20" s="135" t="n">
        <f aca="false">$C$20*$M$20</f>
        <v>772.86</v>
      </c>
      <c r="O20" s="134" t="n">
        <f aca="false">1-($E$20+$G$20+$I$20+$K$20+$M$20+0)</f>
        <v>0.75</v>
      </c>
      <c r="P20" s="135" t="n">
        <f aca="false">$C$20*$O$20</f>
        <v>2318.58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customFormat="false" ht="14.25" hidden="false" customHeight="true" outlineLevel="0" collapsed="false">
      <c r="A21" s="130"/>
      <c r="B21" s="131"/>
      <c r="C21" s="132"/>
      <c r="D21" s="133"/>
      <c r="E21" s="134"/>
      <c r="F21" s="135"/>
      <c r="G21" s="134"/>
      <c r="H21" s="135"/>
      <c r="I21" s="134"/>
      <c r="J21" s="135"/>
      <c r="K21" s="134"/>
      <c r="L21" s="135"/>
      <c r="M21" s="134"/>
      <c r="N21" s="135"/>
      <c r="O21" s="134"/>
      <c r="P21" s="135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customFormat="false" ht="14.25" hidden="false" customHeight="true" outlineLevel="0" collapsed="false">
      <c r="A22" s="139" t="s">
        <v>260</v>
      </c>
      <c r="B22" s="139"/>
      <c r="C22" s="140" t="n">
        <f aca="false">SUM(C11:C21)</f>
        <v>361012.79</v>
      </c>
      <c r="D22" s="63" t="n">
        <f aca="false">D12+D13+D14+D15+D16+D17+D18+D19+D20+0</f>
        <v>1</v>
      </c>
      <c r="E22" s="125" t="n">
        <f aca="false">$F$22/$C$22</f>
        <v>0.0290292928984593</v>
      </c>
      <c r="F22" s="128" t="n">
        <f aca="false">SUM($F$11:$F$21)</f>
        <v>10479.946021</v>
      </c>
      <c r="G22" s="126" t="n">
        <f aca="false">$H$22/$C$22</f>
        <v>0.170167298009026</v>
      </c>
      <c r="H22" s="129" t="n">
        <f aca="false">SUM($H$11:$H$21)</f>
        <v>61432.571021</v>
      </c>
      <c r="I22" s="125" t="n">
        <f aca="false">$J$22/$C$22</f>
        <v>0.46557271148482</v>
      </c>
      <c r="J22" s="128" t="n">
        <f aca="false">SUM($J$11:$J$21)</f>
        <v>168077.703521</v>
      </c>
      <c r="K22" s="126" t="n">
        <f aca="false">$L$22/$C$22</f>
        <v>0.208421081206015</v>
      </c>
      <c r="L22" s="129" t="n">
        <f aca="false">SUM($L$11:$L$21)</f>
        <v>75242.676021</v>
      </c>
      <c r="M22" s="125" t="n">
        <f aca="false">$N$22/$C$22</f>
        <v>0.111033707478896</v>
      </c>
      <c r="N22" s="128" t="n">
        <f aca="false">SUM($N$11:$N$21)</f>
        <v>40084.588521</v>
      </c>
      <c r="O22" s="126" t="n">
        <f aca="false">$P$22/$C$22</f>
        <v>0.0157759089227836</v>
      </c>
      <c r="P22" s="129" t="n">
        <f aca="false">SUM($P$11:$P$21)</f>
        <v>5695.304895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customFormat="false" ht="14.25" hidden="false" customHeight="true" outlineLevel="0" collapsed="false">
      <c r="A23" s="139" t="s">
        <v>273</v>
      </c>
      <c r="B23" s="139"/>
      <c r="C23" s="140"/>
      <c r="D23" s="140"/>
      <c r="E23" s="125" t="n">
        <f aca="false">$E$22</f>
        <v>0.0290292928984593</v>
      </c>
      <c r="F23" s="128" t="n">
        <f aca="false">$F$22</f>
        <v>10479.946021</v>
      </c>
      <c r="G23" s="126" t="n">
        <f aca="false">$G$22+$E$23</f>
        <v>0.199196590907486</v>
      </c>
      <c r="H23" s="129" t="n">
        <f aca="false">$H$22+$F$23</f>
        <v>71912.517042</v>
      </c>
      <c r="I23" s="125" t="n">
        <f aca="false">$I$22+$G$23</f>
        <v>0.664769302392306</v>
      </c>
      <c r="J23" s="128" t="n">
        <f aca="false">$J$22+$H$23</f>
        <v>239990.220563</v>
      </c>
      <c r="K23" s="126" t="n">
        <f aca="false">$K$22+$I$23</f>
        <v>0.873190383598321</v>
      </c>
      <c r="L23" s="129" t="n">
        <f aca="false">$L$22+$J$23</f>
        <v>315232.896584</v>
      </c>
      <c r="M23" s="125" t="n">
        <f aca="false">$M$22+$K$23</f>
        <v>0.984224091077216</v>
      </c>
      <c r="N23" s="128" t="n">
        <f aca="false">$N$22+$L$23</f>
        <v>355317.485105</v>
      </c>
      <c r="O23" s="126" t="n">
        <f aca="false">$O$22+$M$23</f>
        <v>1</v>
      </c>
      <c r="P23" s="129" t="n">
        <f aca="false">$P$22+$N$23</f>
        <v>361012.79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customFormat="false" ht="14.25" hidden="false" customHeight="true" outlineLevel="0" collapsed="false">
      <c r="A24" s="141"/>
      <c r="B24" s="142"/>
      <c r="C24" s="143"/>
      <c r="D24" s="144"/>
      <c r="E24" s="119"/>
      <c r="F24" s="120"/>
      <c r="G24" s="119"/>
      <c r="H24" s="120"/>
      <c r="I24" s="119"/>
      <c r="J24" s="120"/>
      <c r="K24" s="119"/>
      <c r="L24" s="120"/>
      <c r="M24" s="119"/>
      <c r="N24" s="120"/>
      <c r="O24" s="119"/>
      <c r="P24" s="120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customFormat="false" ht="14.25" hidden="false" customHeight="true" outlineLevel="0" collapsed="false">
      <c r="A25" s="141"/>
      <c r="B25" s="142" t="s">
        <v>274</v>
      </c>
      <c r="C25" s="143"/>
      <c r="D25" s="144"/>
      <c r="E25" s="119"/>
      <c r="F25" s="120"/>
      <c r="G25" s="119"/>
      <c r="H25" s="120"/>
      <c r="I25" s="119"/>
      <c r="J25" s="120"/>
      <c r="K25" s="119"/>
      <c r="L25" s="120"/>
      <c r="M25" s="119"/>
      <c r="N25" s="120"/>
      <c r="O25" s="119"/>
      <c r="P25" s="120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customFormat="false" ht="14.25" hidden="false" customHeight="true" outlineLevel="0" collapsed="false">
      <c r="A26" s="141"/>
      <c r="B26" s="142"/>
      <c r="C26" s="143"/>
      <c r="D26" s="144"/>
      <c r="E26" s="119"/>
      <c r="F26" s="120"/>
      <c r="G26" s="119"/>
      <c r="H26" s="120"/>
      <c r="I26" s="119"/>
      <c r="J26" s="120"/>
      <c r="K26" s="119"/>
      <c r="L26" s="120"/>
      <c r="M26" s="119"/>
      <c r="N26" s="120"/>
      <c r="O26" s="119"/>
      <c r="P26" s="120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customFormat="false" ht="14.25" hidden="false" customHeight="true" outlineLevel="0" collapsed="false">
      <c r="A27" s="141"/>
      <c r="B27" s="142"/>
      <c r="C27" s="143"/>
      <c r="D27" s="144"/>
      <c r="E27" s="119"/>
      <c r="F27" s="120"/>
      <c r="G27" s="119"/>
      <c r="H27" s="120"/>
      <c r="I27" s="119"/>
      <c r="J27" s="120"/>
      <c r="K27" s="119"/>
      <c r="L27" s="120"/>
      <c r="M27" s="119"/>
      <c r="N27" s="120"/>
      <c r="O27" s="119"/>
      <c r="P27" s="120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customFormat="false" ht="14.25" hidden="false" customHeight="true" outlineLevel="0" collapsed="false">
      <c r="A28" s="141"/>
      <c r="B28" s="142"/>
      <c r="C28" s="143"/>
      <c r="D28" s="144"/>
      <c r="E28" s="119"/>
      <c r="F28" s="120"/>
      <c r="G28" s="119"/>
      <c r="H28" s="120"/>
      <c r="I28" s="119"/>
      <c r="J28" s="120"/>
      <c r="K28" s="119"/>
      <c r="L28" s="120"/>
      <c r="M28" s="119"/>
      <c r="N28" s="120"/>
      <c r="O28" s="119"/>
      <c r="P28" s="120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customFormat="false" ht="14.25" hidden="false" customHeight="true" outlineLevel="0" collapsed="false">
      <c r="A29" s="141"/>
      <c r="B29" s="142"/>
      <c r="C29" s="143"/>
      <c r="D29" s="144"/>
      <c r="E29" s="119"/>
      <c r="F29" s="120"/>
      <c r="G29" s="119"/>
      <c r="H29" s="120"/>
      <c r="I29" s="119"/>
      <c r="J29" s="120"/>
      <c r="K29" s="119"/>
      <c r="L29" s="120"/>
      <c r="M29" s="119"/>
      <c r="N29" s="120"/>
      <c r="O29" s="119"/>
      <c r="P29" s="120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customFormat="false" ht="14.25" hidden="false" customHeight="true" outlineLevel="0" collapsed="false">
      <c r="A30" s="141"/>
      <c r="B30" s="142"/>
      <c r="C30" s="143"/>
      <c r="D30" s="144"/>
      <c r="E30" s="119"/>
      <c r="F30" s="120"/>
      <c r="G30" s="119"/>
      <c r="H30" s="120"/>
      <c r="I30" s="119"/>
      <c r="J30" s="120"/>
      <c r="K30" s="119"/>
      <c r="L30" s="120"/>
      <c r="M30" s="119"/>
      <c r="N30" s="120"/>
      <c r="O30" s="119"/>
      <c r="P30" s="120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customFormat="false" ht="14.25" hidden="false" customHeight="true" outlineLevel="0" collapsed="false">
      <c r="A31" s="141"/>
      <c r="B31" s="142"/>
      <c r="C31" s="143"/>
      <c r="D31" s="144"/>
      <c r="E31" s="119"/>
      <c r="F31" s="120"/>
      <c r="G31" s="119"/>
      <c r="H31" s="120"/>
      <c r="I31" s="119"/>
      <c r="J31" s="120"/>
      <c r="K31" s="119"/>
      <c r="L31" s="120"/>
      <c r="M31" s="119"/>
      <c r="N31" s="120"/>
      <c r="O31" s="119"/>
      <c r="P31" s="120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customFormat="false" ht="14.25" hidden="false" customHeight="true" outlineLevel="0" collapsed="false">
      <c r="A32" s="141"/>
      <c r="B32" s="142"/>
      <c r="C32" s="143"/>
      <c r="D32" s="144"/>
      <c r="E32" s="119"/>
      <c r="F32" s="120"/>
      <c r="G32" s="119"/>
      <c r="H32" s="120"/>
      <c r="I32" s="119"/>
      <c r="J32" s="120"/>
      <c r="K32" s="119"/>
      <c r="L32" s="120"/>
      <c r="M32" s="119"/>
      <c r="N32" s="120"/>
      <c r="O32" s="119"/>
      <c r="P32" s="120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customFormat="false" ht="14.25" hidden="false" customHeight="true" outlineLevel="0" collapsed="false">
      <c r="A33" s="141"/>
      <c r="B33" s="142"/>
      <c r="C33" s="143"/>
      <c r="D33" s="144"/>
      <c r="E33" s="119"/>
      <c r="F33" s="120"/>
      <c r="G33" s="119"/>
      <c r="H33" s="120"/>
      <c r="I33" s="119"/>
      <c r="J33" s="120"/>
      <c r="K33" s="119"/>
      <c r="L33" s="120"/>
      <c r="M33" s="119"/>
      <c r="N33" s="120"/>
      <c r="O33" s="119"/>
      <c r="P33" s="120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customFormat="false" ht="14.25" hidden="false" customHeight="true" outlineLevel="0" collapsed="false">
      <c r="A34" s="141"/>
      <c r="B34" s="142"/>
      <c r="C34" s="143"/>
      <c r="D34" s="144"/>
      <c r="E34" s="119"/>
      <c r="F34" s="120"/>
      <c r="G34" s="119"/>
      <c r="H34" s="120"/>
      <c r="I34" s="119"/>
      <c r="J34" s="120"/>
      <c r="K34" s="119"/>
      <c r="L34" s="120"/>
      <c r="M34" s="119"/>
      <c r="N34" s="120"/>
      <c r="O34" s="119"/>
      <c r="P34" s="120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customFormat="false" ht="14.25" hidden="false" customHeight="true" outlineLevel="0" collapsed="false">
      <c r="A35" s="141"/>
      <c r="B35" s="142"/>
      <c r="C35" s="143"/>
      <c r="D35" s="144"/>
      <c r="E35" s="119"/>
      <c r="F35" s="120"/>
      <c r="G35" s="119"/>
      <c r="H35" s="120"/>
      <c r="I35" s="119"/>
      <c r="J35" s="120"/>
      <c r="K35" s="119"/>
      <c r="L35" s="120"/>
      <c r="M35" s="119"/>
      <c r="N35" s="120"/>
      <c r="O35" s="119"/>
      <c r="P35" s="120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customFormat="false" ht="14.25" hidden="false" customHeight="true" outlineLevel="0" collapsed="false">
      <c r="A36" s="141"/>
      <c r="B36" s="142"/>
      <c r="C36" s="143"/>
      <c r="D36" s="144"/>
      <c r="E36" s="119"/>
      <c r="F36" s="120"/>
      <c r="G36" s="119"/>
      <c r="H36" s="120"/>
      <c r="I36" s="119"/>
      <c r="J36" s="120"/>
      <c r="K36" s="119"/>
      <c r="L36" s="120"/>
      <c r="M36" s="119"/>
      <c r="N36" s="120"/>
      <c r="O36" s="119"/>
      <c r="P36" s="120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customFormat="false" ht="14.25" hidden="false" customHeight="true" outlineLevel="0" collapsed="false">
      <c r="A37" s="141"/>
      <c r="B37" s="142"/>
      <c r="C37" s="143"/>
      <c r="D37" s="144"/>
      <c r="E37" s="119"/>
      <c r="F37" s="120"/>
      <c r="G37" s="119"/>
      <c r="H37" s="120"/>
      <c r="I37" s="119"/>
      <c r="J37" s="120"/>
      <c r="K37" s="119"/>
      <c r="L37" s="120"/>
      <c r="M37" s="119"/>
      <c r="N37" s="120"/>
      <c r="O37" s="119"/>
      <c r="P37" s="120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customFormat="false" ht="14.25" hidden="false" customHeight="true" outlineLevel="0" collapsed="false">
      <c r="A38" s="141"/>
      <c r="B38" s="142"/>
      <c r="C38" s="143"/>
      <c r="D38" s="144"/>
      <c r="E38" s="119"/>
      <c r="F38" s="120"/>
      <c r="G38" s="119"/>
      <c r="H38" s="120"/>
      <c r="I38" s="119"/>
      <c r="J38" s="120"/>
      <c r="K38" s="119"/>
      <c r="L38" s="120"/>
      <c r="M38" s="119"/>
      <c r="N38" s="120"/>
      <c r="O38" s="119"/>
      <c r="P38" s="120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customFormat="false" ht="14.25" hidden="false" customHeight="true" outlineLevel="0" collapsed="false">
      <c r="A39" s="141"/>
      <c r="B39" s="142"/>
      <c r="C39" s="143"/>
      <c r="D39" s="144"/>
      <c r="E39" s="119"/>
      <c r="F39" s="120"/>
      <c r="G39" s="119"/>
      <c r="H39" s="120"/>
      <c r="I39" s="119"/>
      <c r="J39" s="120"/>
      <c r="K39" s="119"/>
      <c r="L39" s="120"/>
      <c r="M39" s="119"/>
      <c r="N39" s="120"/>
      <c r="O39" s="119"/>
      <c r="P39" s="120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customFormat="false" ht="14.25" hidden="false" customHeight="true" outlineLevel="0" collapsed="false">
      <c r="A40" s="141"/>
      <c r="B40" s="142"/>
      <c r="C40" s="143"/>
      <c r="D40" s="144"/>
      <c r="E40" s="119"/>
      <c r="F40" s="120"/>
      <c r="G40" s="119"/>
      <c r="H40" s="120"/>
      <c r="I40" s="119"/>
      <c r="J40" s="120"/>
      <c r="K40" s="119"/>
      <c r="L40" s="120"/>
      <c r="M40" s="119"/>
      <c r="N40" s="120"/>
      <c r="O40" s="119"/>
      <c r="P40" s="120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customFormat="false" ht="14.25" hidden="false" customHeight="true" outlineLevel="0" collapsed="false">
      <c r="A41" s="141"/>
      <c r="B41" s="142"/>
      <c r="C41" s="143"/>
      <c r="D41" s="144"/>
      <c r="E41" s="119"/>
      <c r="F41" s="120"/>
      <c r="G41" s="119"/>
      <c r="H41" s="120"/>
      <c r="I41" s="119"/>
      <c r="J41" s="120"/>
      <c r="K41" s="119"/>
      <c r="L41" s="120"/>
      <c r="M41" s="119"/>
      <c r="N41" s="120"/>
      <c r="O41" s="119"/>
      <c r="P41" s="120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customFormat="false" ht="14.25" hidden="false" customHeight="true" outlineLevel="0" collapsed="false">
      <c r="A42" s="141"/>
      <c r="B42" s="142"/>
      <c r="C42" s="143"/>
      <c r="D42" s="144"/>
      <c r="E42" s="119"/>
      <c r="F42" s="120"/>
      <c r="G42" s="119"/>
      <c r="H42" s="120"/>
      <c r="I42" s="119"/>
      <c r="J42" s="120"/>
      <c r="K42" s="119"/>
      <c r="L42" s="120"/>
      <c r="M42" s="119"/>
      <c r="N42" s="120"/>
      <c r="O42" s="119"/>
      <c r="P42" s="120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customFormat="false" ht="14.25" hidden="false" customHeight="true" outlineLevel="0" collapsed="false">
      <c r="A43" s="141"/>
      <c r="B43" s="142"/>
      <c r="C43" s="143"/>
      <c r="D43" s="144"/>
      <c r="E43" s="119"/>
      <c r="F43" s="120"/>
      <c r="G43" s="119"/>
      <c r="H43" s="120"/>
      <c r="I43" s="119"/>
      <c r="J43" s="120"/>
      <c r="K43" s="119"/>
      <c r="L43" s="120"/>
      <c r="M43" s="119"/>
      <c r="N43" s="120"/>
      <c r="O43" s="119"/>
      <c r="P43" s="120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customFormat="false" ht="14.25" hidden="false" customHeight="true" outlineLevel="0" collapsed="false">
      <c r="A44" s="141"/>
      <c r="B44" s="142"/>
      <c r="C44" s="143"/>
      <c r="D44" s="144"/>
      <c r="E44" s="119"/>
      <c r="F44" s="120"/>
      <c r="G44" s="119"/>
      <c r="H44" s="120"/>
      <c r="I44" s="119"/>
      <c r="J44" s="120"/>
      <c r="K44" s="119"/>
      <c r="L44" s="120"/>
      <c r="M44" s="119"/>
      <c r="N44" s="120"/>
      <c r="O44" s="119"/>
      <c r="P44" s="120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customFormat="false" ht="14.25" hidden="false" customHeight="true" outlineLevel="0" collapsed="false">
      <c r="A45" s="141"/>
      <c r="B45" s="142"/>
      <c r="C45" s="143"/>
      <c r="D45" s="144"/>
      <c r="E45" s="119"/>
      <c r="F45" s="120"/>
      <c r="G45" s="119"/>
      <c r="H45" s="120"/>
      <c r="I45" s="119"/>
      <c r="J45" s="120"/>
      <c r="K45" s="119"/>
      <c r="L45" s="120"/>
      <c r="M45" s="119"/>
      <c r="N45" s="120"/>
      <c r="O45" s="119"/>
      <c r="P45" s="120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customFormat="false" ht="14.25" hidden="false" customHeight="true" outlineLevel="0" collapsed="false">
      <c r="A46" s="141"/>
      <c r="B46" s="142"/>
      <c r="C46" s="143"/>
      <c r="D46" s="144"/>
      <c r="E46" s="119"/>
      <c r="F46" s="120"/>
      <c r="G46" s="119"/>
      <c r="H46" s="120"/>
      <c r="I46" s="119"/>
      <c r="J46" s="120"/>
      <c r="K46" s="119"/>
      <c r="L46" s="120"/>
      <c r="M46" s="119"/>
      <c r="N46" s="120"/>
      <c r="O46" s="119"/>
      <c r="P46" s="120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customFormat="false" ht="14.25" hidden="false" customHeight="true" outlineLevel="0" collapsed="false">
      <c r="A47" s="141"/>
      <c r="B47" s="142"/>
      <c r="C47" s="143"/>
      <c r="D47" s="144"/>
      <c r="E47" s="119"/>
      <c r="F47" s="120"/>
      <c r="G47" s="119"/>
      <c r="H47" s="120"/>
      <c r="I47" s="119"/>
      <c r="J47" s="120"/>
      <c r="K47" s="119"/>
      <c r="L47" s="120"/>
      <c r="M47" s="119"/>
      <c r="N47" s="120"/>
      <c r="O47" s="119"/>
      <c r="P47" s="120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customFormat="false" ht="14.25" hidden="false" customHeight="true" outlineLevel="0" collapsed="false">
      <c r="A48" s="141"/>
      <c r="B48" s="142"/>
      <c r="C48" s="143"/>
      <c r="D48" s="144"/>
      <c r="E48" s="119"/>
      <c r="F48" s="120"/>
      <c r="G48" s="119"/>
      <c r="H48" s="120"/>
      <c r="I48" s="119"/>
      <c r="J48" s="120"/>
      <c r="K48" s="119"/>
      <c r="L48" s="120"/>
      <c r="M48" s="119"/>
      <c r="N48" s="120"/>
      <c r="O48" s="119"/>
      <c r="P48" s="120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customFormat="false" ht="14.25" hidden="false" customHeight="true" outlineLevel="0" collapsed="false">
      <c r="A49" s="141"/>
      <c r="B49" s="142"/>
      <c r="C49" s="143"/>
      <c r="D49" s="144"/>
      <c r="E49" s="119"/>
      <c r="F49" s="120"/>
      <c r="G49" s="119"/>
      <c r="H49" s="120"/>
      <c r="I49" s="119"/>
      <c r="J49" s="120"/>
      <c r="K49" s="119"/>
      <c r="L49" s="120"/>
      <c r="M49" s="119"/>
      <c r="N49" s="120"/>
      <c r="O49" s="119"/>
      <c r="P49" s="120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customFormat="false" ht="14.25" hidden="false" customHeight="true" outlineLevel="0" collapsed="false">
      <c r="A50" s="141"/>
      <c r="B50" s="142"/>
      <c r="C50" s="143"/>
      <c r="D50" s="144"/>
      <c r="E50" s="119"/>
      <c r="F50" s="120"/>
      <c r="G50" s="119"/>
      <c r="H50" s="120"/>
      <c r="I50" s="119"/>
      <c r="J50" s="120"/>
      <c r="K50" s="119"/>
      <c r="L50" s="120"/>
      <c r="M50" s="119"/>
      <c r="N50" s="120"/>
      <c r="O50" s="119"/>
      <c r="P50" s="120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customFormat="false" ht="14.25" hidden="false" customHeight="true" outlineLevel="0" collapsed="false">
      <c r="A51" s="141"/>
      <c r="B51" s="142"/>
      <c r="C51" s="143"/>
      <c r="D51" s="144"/>
      <c r="E51" s="119"/>
      <c r="F51" s="120"/>
      <c r="G51" s="119"/>
      <c r="H51" s="120"/>
      <c r="I51" s="119"/>
      <c r="J51" s="120"/>
      <c r="K51" s="119"/>
      <c r="L51" s="120"/>
      <c r="M51" s="119"/>
      <c r="N51" s="120"/>
      <c r="O51" s="119"/>
      <c r="P51" s="120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customFormat="false" ht="14.25" hidden="false" customHeight="true" outlineLevel="0" collapsed="false">
      <c r="A52" s="141"/>
      <c r="B52" s="142"/>
      <c r="C52" s="143"/>
      <c r="D52" s="144"/>
      <c r="E52" s="119"/>
      <c r="F52" s="120"/>
      <c r="G52" s="119"/>
      <c r="H52" s="120"/>
      <c r="I52" s="119"/>
      <c r="J52" s="120"/>
      <c r="K52" s="119"/>
      <c r="L52" s="120"/>
      <c r="M52" s="119"/>
      <c r="N52" s="120"/>
      <c r="O52" s="119"/>
      <c r="P52" s="120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customFormat="false" ht="14.25" hidden="false" customHeight="true" outlineLevel="0" collapsed="false">
      <c r="A53" s="141"/>
      <c r="B53" s="142"/>
      <c r="C53" s="143"/>
      <c r="D53" s="144"/>
      <c r="E53" s="119"/>
      <c r="F53" s="120"/>
      <c r="G53" s="119"/>
      <c r="H53" s="120"/>
      <c r="I53" s="119"/>
      <c r="J53" s="120"/>
      <c r="K53" s="119"/>
      <c r="L53" s="120"/>
      <c r="M53" s="119"/>
      <c r="N53" s="120"/>
      <c r="O53" s="119"/>
      <c r="P53" s="120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customFormat="false" ht="14.25" hidden="false" customHeight="true" outlineLevel="0" collapsed="false">
      <c r="A54" s="141"/>
      <c r="B54" s="142"/>
      <c r="C54" s="143"/>
      <c r="D54" s="144"/>
      <c r="E54" s="119"/>
      <c r="F54" s="120"/>
      <c r="G54" s="119"/>
      <c r="H54" s="120"/>
      <c r="I54" s="119"/>
      <c r="J54" s="120"/>
      <c r="K54" s="119"/>
      <c r="L54" s="120"/>
      <c r="M54" s="119"/>
      <c r="N54" s="120"/>
      <c r="O54" s="119"/>
      <c r="P54" s="120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customFormat="false" ht="14.25" hidden="false" customHeight="true" outlineLevel="0" collapsed="false">
      <c r="A55" s="141"/>
      <c r="B55" s="142"/>
      <c r="C55" s="143"/>
      <c r="D55" s="144"/>
      <c r="E55" s="119"/>
      <c r="F55" s="120"/>
      <c r="G55" s="119"/>
      <c r="H55" s="120"/>
      <c r="I55" s="119"/>
      <c r="J55" s="120"/>
      <c r="K55" s="119"/>
      <c r="L55" s="120"/>
      <c r="M55" s="119"/>
      <c r="N55" s="120"/>
      <c r="O55" s="119"/>
      <c r="P55" s="120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customFormat="false" ht="14.25" hidden="false" customHeight="true" outlineLevel="0" collapsed="false">
      <c r="A56" s="141"/>
      <c r="B56" s="142"/>
      <c r="C56" s="143"/>
      <c r="D56" s="144"/>
      <c r="E56" s="119"/>
      <c r="F56" s="120"/>
      <c r="G56" s="119"/>
      <c r="H56" s="120"/>
      <c r="I56" s="119"/>
      <c r="J56" s="120"/>
      <c r="K56" s="119"/>
      <c r="L56" s="120"/>
      <c r="M56" s="119"/>
      <c r="N56" s="120"/>
      <c r="O56" s="119"/>
      <c r="P56" s="120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customFormat="false" ht="14.25" hidden="false" customHeight="true" outlineLevel="0" collapsed="false">
      <c r="A57" s="141"/>
      <c r="B57" s="142"/>
      <c r="C57" s="143"/>
      <c r="D57" s="144"/>
      <c r="E57" s="119"/>
      <c r="F57" s="120"/>
      <c r="G57" s="119"/>
      <c r="H57" s="120"/>
      <c r="I57" s="119"/>
      <c r="J57" s="120"/>
      <c r="K57" s="119"/>
      <c r="L57" s="120"/>
      <c r="M57" s="119"/>
      <c r="N57" s="120"/>
      <c r="O57" s="119"/>
      <c r="P57" s="120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customFormat="false" ht="14.25" hidden="false" customHeight="true" outlineLevel="0" collapsed="false">
      <c r="A58" s="141"/>
      <c r="B58" s="142"/>
      <c r="C58" s="143"/>
      <c r="D58" s="144"/>
      <c r="E58" s="119"/>
      <c r="F58" s="120"/>
      <c r="G58" s="119"/>
      <c r="H58" s="120"/>
      <c r="I58" s="119"/>
      <c r="J58" s="120"/>
      <c r="K58" s="119"/>
      <c r="L58" s="120"/>
      <c r="M58" s="119"/>
      <c r="N58" s="120"/>
      <c r="O58" s="119"/>
      <c r="P58" s="120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customFormat="false" ht="14.25" hidden="false" customHeight="true" outlineLevel="0" collapsed="false">
      <c r="A59" s="141"/>
      <c r="B59" s="142"/>
      <c r="C59" s="143"/>
      <c r="D59" s="144"/>
      <c r="E59" s="119"/>
      <c r="F59" s="120"/>
      <c r="G59" s="119"/>
      <c r="H59" s="120"/>
      <c r="I59" s="119"/>
      <c r="J59" s="120"/>
      <c r="K59" s="119"/>
      <c r="L59" s="120"/>
      <c r="M59" s="119"/>
      <c r="N59" s="120"/>
      <c r="O59" s="119"/>
      <c r="P59" s="120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customFormat="false" ht="14.25" hidden="false" customHeight="true" outlineLevel="0" collapsed="false">
      <c r="A60" s="141"/>
      <c r="B60" s="142"/>
      <c r="C60" s="143"/>
      <c r="D60" s="144"/>
      <c r="E60" s="119"/>
      <c r="F60" s="120"/>
      <c r="G60" s="119"/>
      <c r="H60" s="120"/>
      <c r="I60" s="119"/>
      <c r="J60" s="120"/>
      <c r="K60" s="119"/>
      <c r="L60" s="120"/>
      <c r="M60" s="119"/>
      <c r="N60" s="120"/>
      <c r="O60" s="119"/>
      <c r="P60" s="120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customFormat="false" ht="14.25" hidden="false" customHeight="true" outlineLevel="0" collapsed="false">
      <c r="A61" s="141"/>
      <c r="B61" s="142"/>
      <c r="C61" s="143"/>
      <c r="D61" s="144"/>
      <c r="E61" s="119"/>
      <c r="F61" s="120"/>
      <c r="G61" s="119"/>
      <c r="H61" s="120"/>
      <c r="I61" s="119"/>
      <c r="J61" s="120"/>
      <c r="K61" s="119"/>
      <c r="L61" s="120"/>
      <c r="M61" s="119"/>
      <c r="N61" s="120"/>
      <c r="O61" s="119"/>
      <c r="P61" s="120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customFormat="false" ht="14.25" hidden="false" customHeight="true" outlineLevel="0" collapsed="false">
      <c r="A62" s="141"/>
      <c r="B62" s="142"/>
      <c r="C62" s="143"/>
      <c r="D62" s="144"/>
      <c r="E62" s="119"/>
      <c r="F62" s="120"/>
      <c r="G62" s="119"/>
      <c r="H62" s="120"/>
      <c r="I62" s="119"/>
      <c r="J62" s="120"/>
      <c r="K62" s="119"/>
      <c r="L62" s="120"/>
      <c r="M62" s="119"/>
      <c r="N62" s="120"/>
      <c r="O62" s="119"/>
      <c r="P62" s="120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customFormat="false" ht="14.25" hidden="false" customHeight="true" outlineLevel="0" collapsed="false">
      <c r="A63" s="141"/>
      <c r="B63" s="142"/>
      <c r="C63" s="143"/>
      <c r="D63" s="144"/>
      <c r="E63" s="119"/>
      <c r="F63" s="120"/>
      <c r="G63" s="119"/>
      <c r="H63" s="120"/>
      <c r="I63" s="119"/>
      <c r="J63" s="120"/>
      <c r="K63" s="119"/>
      <c r="L63" s="120"/>
      <c r="M63" s="119"/>
      <c r="N63" s="120"/>
      <c r="O63" s="119"/>
      <c r="P63" s="120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customFormat="false" ht="14.25" hidden="false" customHeight="true" outlineLevel="0" collapsed="false">
      <c r="A64" s="141"/>
      <c r="B64" s="142"/>
      <c r="C64" s="143"/>
      <c r="D64" s="144"/>
      <c r="E64" s="119"/>
      <c r="F64" s="120"/>
      <c r="G64" s="119"/>
      <c r="H64" s="120"/>
      <c r="I64" s="119"/>
      <c r="J64" s="120"/>
      <c r="K64" s="119"/>
      <c r="L64" s="120"/>
      <c r="M64" s="119"/>
      <c r="N64" s="120"/>
      <c r="O64" s="119"/>
      <c r="P64" s="120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customFormat="false" ht="14.25" hidden="false" customHeight="true" outlineLevel="0" collapsed="false">
      <c r="A65" s="141"/>
      <c r="B65" s="142"/>
      <c r="C65" s="143"/>
      <c r="D65" s="144"/>
      <c r="E65" s="119"/>
      <c r="F65" s="120"/>
      <c r="G65" s="119"/>
      <c r="H65" s="120"/>
      <c r="I65" s="119"/>
      <c r="J65" s="120"/>
      <c r="K65" s="119"/>
      <c r="L65" s="120"/>
      <c r="M65" s="119"/>
      <c r="N65" s="120"/>
      <c r="O65" s="119"/>
      <c r="P65" s="120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customFormat="false" ht="14.25" hidden="false" customHeight="true" outlineLevel="0" collapsed="false">
      <c r="A66" s="141"/>
      <c r="B66" s="142"/>
      <c r="C66" s="143"/>
      <c r="D66" s="144"/>
      <c r="E66" s="119"/>
      <c r="F66" s="120"/>
      <c r="G66" s="119"/>
      <c r="H66" s="120"/>
      <c r="I66" s="119"/>
      <c r="J66" s="120"/>
      <c r="K66" s="119"/>
      <c r="L66" s="120"/>
      <c r="M66" s="119"/>
      <c r="N66" s="120"/>
      <c r="O66" s="119"/>
      <c r="P66" s="120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customFormat="false" ht="14.25" hidden="false" customHeight="true" outlineLevel="0" collapsed="false">
      <c r="A67" s="141"/>
      <c r="B67" s="142"/>
      <c r="C67" s="143"/>
      <c r="D67" s="144"/>
      <c r="E67" s="119"/>
      <c r="F67" s="120"/>
      <c r="G67" s="119"/>
      <c r="H67" s="120"/>
      <c r="I67" s="119"/>
      <c r="J67" s="120"/>
      <c r="K67" s="119"/>
      <c r="L67" s="120"/>
      <c r="M67" s="119"/>
      <c r="N67" s="120"/>
      <c r="O67" s="119"/>
      <c r="P67" s="120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customFormat="false" ht="14.25" hidden="false" customHeight="true" outlineLevel="0" collapsed="false">
      <c r="A68" s="141"/>
      <c r="B68" s="142"/>
      <c r="C68" s="143"/>
      <c r="D68" s="144"/>
      <c r="E68" s="119"/>
      <c r="F68" s="120"/>
      <c r="G68" s="119"/>
      <c r="H68" s="120"/>
      <c r="I68" s="119"/>
      <c r="J68" s="120"/>
      <c r="K68" s="119"/>
      <c r="L68" s="120"/>
      <c r="M68" s="119"/>
      <c r="N68" s="120"/>
      <c r="O68" s="119"/>
      <c r="P68" s="120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customFormat="false" ht="14.25" hidden="false" customHeight="true" outlineLevel="0" collapsed="false">
      <c r="A69" s="141"/>
      <c r="B69" s="142"/>
      <c r="C69" s="143"/>
      <c r="D69" s="144"/>
      <c r="E69" s="119"/>
      <c r="F69" s="120"/>
      <c r="G69" s="119"/>
      <c r="H69" s="120"/>
      <c r="I69" s="119"/>
      <c r="J69" s="120"/>
      <c r="K69" s="119"/>
      <c r="L69" s="120"/>
      <c r="M69" s="119"/>
      <c r="N69" s="120"/>
      <c r="O69" s="119"/>
      <c r="P69" s="120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customFormat="false" ht="14.25" hidden="false" customHeight="true" outlineLevel="0" collapsed="false">
      <c r="A70" s="141"/>
      <c r="B70" s="142"/>
      <c r="C70" s="143"/>
      <c r="D70" s="144"/>
      <c r="E70" s="119"/>
      <c r="F70" s="120"/>
      <c r="G70" s="119"/>
      <c r="H70" s="120"/>
      <c r="I70" s="119"/>
      <c r="J70" s="120"/>
      <c r="K70" s="119"/>
      <c r="L70" s="120"/>
      <c r="M70" s="119"/>
      <c r="N70" s="120"/>
      <c r="O70" s="119"/>
      <c r="P70" s="120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customFormat="false" ht="14.25" hidden="false" customHeight="true" outlineLevel="0" collapsed="false">
      <c r="A71" s="141"/>
      <c r="B71" s="142"/>
      <c r="C71" s="143"/>
      <c r="D71" s="144"/>
      <c r="E71" s="119"/>
      <c r="F71" s="120"/>
      <c r="G71" s="119"/>
      <c r="H71" s="120"/>
      <c r="I71" s="119"/>
      <c r="J71" s="120"/>
      <c r="K71" s="119"/>
      <c r="L71" s="120"/>
      <c r="M71" s="119"/>
      <c r="N71" s="120"/>
      <c r="O71" s="119"/>
      <c r="P71" s="120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customFormat="false" ht="14.25" hidden="false" customHeight="true" outlineLevel="0" collapsed="false">
      <c r="A72" s="141"/>
      <c r="B72" s="142"/>
      <c r="C72" s="143"/>
      <c r="D72" s="144"/>
      <c r="E72" s="119"/>
      <c r="F72" s="120"/>
      <c r="G72" s="119"/>
      <c r="H72" s="120"/>
      <c r="I72" s="119"/>
      <c r="J72" s="120"/>
      <c r="K72" s="119"/>
      <c r="L72" s="120"/>
      <c r="M72" s="119"/>
      <c r="N72" s="120"/>
      <c r="O72" s="119"/>
      <c r="P72" s="120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customFormat="false" ht="14.25" hidden="false" customHeight="true" outlineLevel="0" collapsed="false">
      <c r="A73" s="141"/>
      <c r="B73" s="142"/>
      <c r="C73" s="143"/>
      <c r="D73" s="144"/>
      <c r="E73" s="119"/>
      <c r="F73" s="120"/>
      <c r="G73" s="119"/>
      <c r="H73" s="120"/>
      <c r="I73" s="119"/>
      <c r="J73" s="120"/>
      <c r="K73" s="119"/>
      <c r="L73" s="120"/>
      <c r="M73" s="119"/>
      <c r="N73" s="120"/>
      <c r="O73" s="119"/>
      <c r="P73" s="120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customFormat="false" ht="14.25" hidden="false" customHeight="true" outlineLevel="0" collapsed="false">
      <c r="A74" s="141"/>
      <c r="B74" s="142"/>
      <c r="C74" s="143"/>
      <c r="D74" s="144"/>
      <c r="E74" s="119"/>
      <c r="F74" s="120"/>
      <c r="G74" s="119"/>
      <c r="H74" s="120"/>
      <c r="I74" s="119"/>
      <c r="J74" s="120"/>
      <c r="K74" s="119"/>
      <c r="L74" s="120"/>
      <c r="M74" s="119"/>
      <c r="N74" s="120"/>
      <c r="O74" s="119"/>
      <c r="P74" s="120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customFormat="false" ht="14.25" hidden="false" customHeight="true" outlineLevel="0" collapsed="false">
      <c r="A75" s="141"/>
      <c r="B75" s="142"/>
      <c r="C75" s="143"/>
      <c r="D75" s="144"/>
      <c r="E75" s="119"/>
      <c r="F75" s="120"/>
      <c r="G75" s="119"/>
      <c r="H75" s="120"/>
      <c r="I75" s="119"/>
      <c r="J75" s="120"/>
      <c r="K75" s="119"/>
      <c r="L75" s="120"/>
      <c r="M75" s="119"/>
      <c r="N75" s="120"/>
      <c r="O75" s="119"/>
      <c r="P75" s="120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customFormat="false" ht="14.25" hidden="false" customHeight="true" outlineLevel="0" collapsed="false">
      <c r="A76" s="141"/>
      <c r="B76" s="142"/>
      <c r="C76" s="143"/>
      <c r="D76" s="144"/>
      <c r="E76" s="119"/>
      <c r="F76" s="120"/>
      <c r="G76" s="119"/>
      <c r="H76" s="120"/>
      <c r="I76" s="119"/>
      <c r="J76" s="120"/>
      <c r="K76" s="119"/>
      <c r="L76" s="120"/>
      <c r="M76" s="119"/>
      <c r="N76" s="120"/>
      <c r="O76" s="119"/>
      <c r="P76" s="120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customFormat="false" ht="14.25" hidden="false" customHeight="true" outlineLevel="0" collapsed="false">
      <c r="A77" s="141"/>
      <c r="B77" s="142"/>
      <c r="C77" s="143"/>
      <c r="D77" s="144"/>
      <c r="E77" s="119"/>
      <c r="F77" s="120"/>
      <c r="G77" s="119"/>
      <c r="H77" s="120"/>
      <c r="I77" s="119"/>
      <c r="J77" s="120"/>
      <c r="K77" s="119"/>
      <c r="L77" s="120"/>
      <c r="M77" s="119"/>
      <c r="N77" s="120"/>
      <c r="O77" s="119"/>
      <c r="P77" s="120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customFormat="false" ht="14.25" hidden="false" customHeight="true" outlineLevel="0" collapsed="false">
      <c r="A78" s="141"/>
      <c r="B78" s="142"/>
      <c r="C78" s="143"/>
      <c r="D78" s="144"/>
      <c r="E78" s="119"/>
      <c r="F78" s="120"/>
      <c r="G78" s="119"/>
      <c r="H78" s="120"/>
      <c r="I78" s="119"/>
      <c r="J78" s="120"/>
      <c r="K78" s="119"/>
      <c r="L78" s="120"/>
      <c r="M78" s="119"/>
      <c r="N78" s="120"/>
      <c r="O78" s="119"/>
      <c r="P78" s="120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customFormat="false" ht="14.25" hidden="false" customHeight="true" outlineLevel="0" collapsed="false">
      <c r="A79" s="141"/>
      <c r="B79" s="142"/>
      <c r="C79" s="143"/>
      <c r="D79" s="144"/>
      <c r="E79" s="119"/>
      <c r="F79" s="120"/>
      <c r="G79" s="119"/>
      <c r="H79" s="120"/>
      <c r="I79" s="119"/>
      <c r="J79" s="120"/>
      <c r="K79" s="119"/>
      <c r="L79" s="120"/>
      <c r="M79" s="119"/>
      <c r="N79" s="120"/>
      <c r="O79" s="119"/>
      <c r="P79" s="120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customFormat="false" ht="14.25" hidden="false" customHeight="true" outlineLevel="0" collapsed="false">
      <c r="A80" s="141"/>
      <c r="B80" s="142"/>
      <c r="C80" s="143"/>
      <c r="D80" s="144"/>
      <c r="E80" s="119"/>
      <c r="F80" s="120"/>
      <c r="G80" s="119"/>
      <c r="H80" s="120"/>
      <c r="I80" s="119"/>
      <c r="J80" s="120"/>
      <c r="K80" s="119"/>
      <c r="L80" s="120"/>
      <c r="M80" s="119"/>
      <c r="N80" s="120"/>
      <c r="O80" s="119"/>
      <c r="P80" s="120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customFormat="false" ht="14.25" hidden="false" customHeight="true" outlineLevel="0" collapsed="false">
      <c r="A81" s="141"/>
      <c r="B81" s="142"/>
      <c r="C81" s="143"/>
      <c r="D81" s="144"/>
      <c r="E81" s="119"/>
      <c r="F81" s="120"/>
      <c r="G81" s="119"/>
      <c r="H81" s="120"/>
      <c r="I81" s="119"/>
      <c r="J81" s="120"/>
      <c r="K81" s="119"/>
      <c r="L81" s="120"/>
      <c r="M81" s="119"/>
      <c r="N81" s="120"/>
      <c r="O81" s="119"/>
      <c r="P81" s="120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customFormat="false" ht="14.25" hidden="false" customHeight="true" outlineLevel="0" collapsed="false">
      <c r="A82" s="141"/>
      <c r="B82" s="142"/>
      <c r="C82" s="143"/>
      <c r="D82" s="144"/>
      <c r="E82" s="119"/>
      <c r="F82" s="120"/>
      <c r="G82" s="119"/>
      <c r="H82" s="120"/>
      <c r="I82" s="119"/>
      <c r="J82" s="120"/>
      <c r="K82" s="119"/>
      <c r="L82" s="120"/>
      <c r="M82" s="119"/>
      <c r="N82" s="120"/>
      <c r="O82" s="119"/>
      <c r="P82" s="120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customFormat="false" ht="14.25" hidden="false" customHeight="true" outlineLevel="0" collapsed="false">
      <c r="A83" s="141"/>
      <c r="B83" s="142"/>
      <c r="C83" s="143"/>
      <c r="D83" s="144"/>
      <c r="E83" s="119"/>
      <c r="F83" s="120"/>
      <c r="G83" s="119"/>
      <c r="H83" s="120"/>
      <c r="I83" s="119"/>
      <c r="J83" s="120"/>
      <c r="K83" s="119"/>
      <c r="L83" s="120"/>
      <c r="M83" s="119"/>
      <c r="N83" s="120"/>
      <c r="O83" s="119"/>
      <c r="P83" s="120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customFormat="false" ht="14.25" hidden="false" customHeight="true" outlineLevel="0" collapsed="false">
      <c r="A84" s="141"/>
      <c r="B84" s="142"/>
      <c r="C84" s="143"/>
      <c r="D84" s="144"/>
      <c r="E84" s="119"/>
      <c r="F84" s="120"/>
      <c r="G84" s="119"/>
      <c r="H84" s="120"/>
      <c r="I84" s="119"/>
      <c r="J84" s="120"/>
      <c r="K84" s="119"/>
      <c r="L84" s="120"/>
      <c r="M84" s="119"/>
      <c r="N84" s="120"/>
      <c r="O84" s="119"/>
      <c r="P84" s="120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customFormat="false" ht="14.25" hidden="false" customHeight="true" outlineLevel="0" collapsed="false">
      <c r="A85" s="141"/>
      <c r="B85" s="142"/>
      <c r="C85" s="143"/>
      <c r="D85" s="144"/>
      <c r="E85" s="119"/>
      <c r="F85" s="120"/>
      <c r="G85" s="119"/>
      <c r="H85" s="120"/>
      <c r="I85" s="119"/>
      <c r="J85" s="120"/>
      <c r="K85" s="119"/>
      <c r="L85" s="120"/>
      <c r="M85" s="119"/>
      <c r="N85" s="120"/>
      <c r="O85" s="119"/>
      <c r="P85" s="120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customFormat="false" ht="14.25" hidden="false" customHeight="true" outlineLevel="0" collapsed="false">
      <c r="A86" s="141"/>
      <c r="B86" s="142"/>
      <c r="C86" s="143"/>
      <c r="D86" s="144"/>
      <c r="E86" s="119"/>
      <c r="F86" s="120"/>
      <c r="G86" s="119"/>
      <c r="H86" s="120"/>
      <c r="I86" s="119"/>
      <c r="J86" s="120"/>
      <c r="K86" s="119"/>
      <c r="L86" s="120"/>
      <c r="M86" s="119"/>
      <c r="N86" s="120"/>
      <c r="O86" s="119"/>
      <c r="P86" s="120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customFormat="false" ht="14.25" hidden="false" customHeight="true" outlineLevel="0" collapsed="false">
      <c r="A87" s="141"/>
      <c r="B87" s="142"/>
      <c r="C87" s="143"/>
      <c r="D87" s="144"/>
      <c r="E87" s="119"/>
      <c r="F87" s="120"/>
      <c r="G87" s="119"/>
      <c r="H87" s="120"/>
      <c r="I87" s="119"/>
      <c r="J87" s="120"/>
      <c r="K87" s="119"/>
      <c r="L87" s="120"/>
      <c r="M87" s="119"/>
      <c r="N87" s="120"/>
      <c r="O87" s="119"/>
      <c r="P87" s="120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customFormat="false" ht="14.25" hidden="false" customHeight="true" outlineLevel="0" collapsed="false">
      <c r="A88" s="141"/>
      <c r="B88" s="142"/>
      <c r="C88" s="143"/>
      <c r="D88" s="144"/>
      <c r="E88" s="119"/>
      <c r="F88" s="120"/>
      <c r="G88" s="119"/>
      <c r="H88" s="120"/>
      <c r="I88" s="119"/>
      <c r="J88" s="120"/>
      <c r="K88" s="119"/>
      <c r="L88" s="120"/>
      <c r="M88" s="119"/>
      <c r="N88" s="120"/>
      <c r="O88" s="119"/>
      <c r="P88" s="120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customFormat="false" ht="14.25" hidden="false" customHeight="true" outlineLevel="0" collapsed="false">
      <c r="A89" s="141"/>
      <c r="B89" s="142"/>
      <c r="C89" s="143"/>
      <c r="D89" s="144"/>
      <c r="E89" s="119"/>
      <c r="F89" s="120"/>
      <c r="G89" s="119"/>
      <c r="H89" s="120"/>
      <c r="I89" s="119"/>
      <c r="J89" s="120"/>
      <c r="K89" s="119"/>
      <c r="L89" s="120"/>
      <c r="M89" s="119"/>
      <c r="N89" s="120"/>
      <c r="O89" s="119"/>
      <c r="P89" s="120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customFormat="false" ht="14.25" hidden="false" customHeight="true" outlineLevel="0" collapsed="false">
      <c r="A90" s="141"/>
      <c r="B90" s="142"/>
      <c r="C90" s="143"/>
      <c r="D90" s="144"/>
      <c r="E90" s="119"/>
      <c r="F90" s="120"/>
      <c r="G90" s="119"/>
      <c r="H90" s="120"/>
      <c r="I90" s="119"/>
      <c r="J90" s="120"/>
      <c r="K90" s="119"/>
      <c r="L90" s="120"/>
      <c r="M90" s="119"/>
      <c r="N90" s="120"/>
      <c r="O90" s="119"/>
      <c r="P90" s="120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customFormat="false" ht="14.25" hidden="false" customHeight="true" outlineLevel="0" collapsed="false">
      <c r="A91" s="141"/>
      <c r="B91" s="142"/>
      <c r="C91" s="143"/>
      <c r="D91" s="144"/>
      <c r="E91" s="119"/>
      <c r="F91" s="120"/>
      <c r="G91" s="119"/>
      <c r="H91" s="120"/>
      <c r="I91" s="119"/>
      <c r="J91" s="120"/>
      <c r="K91" s="119"/>
      <c r="L91" s="120"/>
      <c r="M91" s="119"/>
      <c r="N91" s="120"/>
      <c r="O91" s="119"/>
      <c r="P91" s="120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customFormat="false" ht="14.25" hidden="false" customHeight="true" outlineLevel="0" collapsed="false">
      <c r="A92" s="141"/>
      <c r="B92" s="142"/>
      <c r="C92" s="143"/>
      <c r="D92" s="144"/>
      <c r="E92" s="119"/>
      <c r="F92" s="120"/>
      <c r="G92" s="119"/>
      <c r="H92" s="120"/>
      <c r="I92" s="119"/>
      <c r="J92" s="120"/>
      <c r="K92" s="119"/>
      <c r="L92" s="120"/>
      <c r="M92" s="119"/>
      <c r="N92" s="120"/>
      <c r="O92" s="119"/>
      <c r="P92" s="120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customFormat="false" ht="14.25" hidden="false" customHeight="true" outlineLevel="0" collapsed="false">
      <c r="A93" s="141"/>
      <c r="B93" s="142"/>
      <c r="C93" s="143"/>
      <c r="D93" s="144"/>
      <c r="E93" s="119"/>
      <c r="F93" s="120"/>
      <c r="G93" s="119"/>
      <c r="H93" s="120"/>
      <c r="I93" s="119"/>
      <c r="J93" s="120"/>
      <c r="K93" s="119"/>
      <c r="L93" s="120"/>
      <c r="M93" s="119"/>
      <c r="N93" s="120"/>
      <c r="O93" s="119"/>
      <c r="P93" s="120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customFormat="false" ht="14.25" hidden="false" customHeight="true" outlineLevel="0" collapsed="false">
      <c r="A94" s="141"/>
      <c r="B94" s="142"/>
      <c r="C94" s="143"/>
      <c r="D94" s="144"/>
      <c r="E94" s="119"/>
      <c r="F94" s="120"/>
      <c r="G94" s="119"/>
      <c r="H94" s="120"/>
      <c r="I94" s="119"/>
      <c r="J94" s="120"/>
      <c r="K94" s="119"/>
      <c r="L94" s="120"/>
      <c r="M94" s="119"/>
      <c r="N94" s="120"/>
      <c r="O94" s="119"/>
      <c r="P94" s="120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customFormat="false" ht="14.25" hidden="false" customHeight="true" outlineLevel="0" collapsed="false">
      <c r="A95" s="141"/>
      <c r="B95" s="142"/>
      <c r="C95" s="143"/>
      <c r="D95" s="144"/>
      <c r="E95" s="119"/>
      <c r="F95" s="120"/>
      <c r="G95" s="119"/>
      <c r="H95" s="120"/>
      <c r="I95" s="119"/>
      <c r="J95" s="120"/>
      <c r="K95" s="119"/>
      <c r="L95" s="120"/>
      <c r="M95" s="119"/>
      <c r="N95" s="120"/>
      <c r="O95" s="119"/>
      <c r="P95" s="120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customFormat="false" ht="14.25" hidden="false" customHeight="true" outlineLevel="0" collapsed="false">
      <c r="A96" s="141"/>
      <c r="B96" s="142"/>
      <c r="C96" s="143"/>
      <c r="D96" s="144"/>
      <c r="E96" s="119"/>
      <c r="F96" s="120"/>
      <c r="G96" s="119"/>
      <c r="H96" s="120"/>
      <c r="I96" s="119"/>
      <c r="J96" s="120"/>
      <c r="K96" s="119"/>
      <c r="L96" s="120"/>
      <c r="M96" s="119"/>
      <c r="N96" s="120"/>
      <c r="O96" s="119"/>
      <c r="P96" s="120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customFormat="false" ht="14.25" hidden="false" customHeight="true" outlineLevel="0" collapsed="false">
      <c r="A97" s="141"/>
      <c r="B97" s="142"/>
      <c r="C97" s="143"/>
      <c r="D97" s="144"/>
      <c r="E97" s="119"/>
      <c r="F97" s="120"/>
      <c r="G97" s="119"/>
      <c r="H97" s="120"/>
      <c r="I97" s="119"/>
      <c r="J97" s="120"/>
      <c r="K97" s="119"/>
      <c r="L97" s="120"/>
      <c r="M97" s="119"/>
      <c r="N97" s="120"/>
      <c r="O97" s="119"/>
      <c r="P97" s="120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customFormat="false" ht="14.25" hidden="false" customHeight="true" outlineLevel="0" collapsed="false">
      <c r="A98" s="141"/>
      <c r="B98" s="142"/>
      <c r="C98" s="143"/>
      <c r="D98" s="144"/>
      <c r="E98" s="119"/>
      <c r="F98" s="120"/>
      <c r="G98" s="119"/>
      <c r="H98" s="120"/>
      <c r="I98" s="119"/>
      <c r="J98" s="120"/>
      <c r="K98" s="119"/>
      <c r="L98" s="120"/>
      <c r="M98" s="119"/>
      <c r="N98" s="120"/>
      <c r="O98" s="119"/>
      <c r="P98" s="120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customFormat="false" ht="14.25" hidden="false" customHeight="true" outlineLevel="0" collapsed="false">
      <c r="A99" s="141"/>
      <c r="B99" s="142"/>
      <c r="C99" s="143"/>
      <c r="D99" s="144"/>
      <c r="E99" s="119"/>
      <c r="F99" s="120"/>
      <c r="G99" s="119"/>
      <c r="H99" s="120"/>
      <c r="I99" s="119"/>
      <c r="J99" s="120"/>
      <c r="K99" s="119"/>
      <c r="L99" s="120"/>
      <c r="M99" s="119"/>
      <c r="N99" s="120"/>
      <c r="O99" s="119"/>
      <c r="P99" s="120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customFormat="false" ht="14.25" hidden="false" customHeight="true" outlineLevel="0" collapsed="false">
      <c r="A100" s="141"/>
      <c r="B100" s="142"/>
      <c r="C100" s="143"/>
      <c r="D100" s="144"/>
      <c r="E100" s="119"/>
      <c r="F100" s="120"/>
      <c r="G100" s="119"/>
      <c r="H100" s="120"/>
      <c r="I100" s="119"/>
      <c r="J100" s="120"/>
      <c r="K100" s="119"/>
      <c r="L100" s="120"/>
      <c r="M100" s="119"/>
      <c r="N100" s="120"/>
      <c r="O100" s="119"/>
      <c r="P100" s="120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customFormat="false" ht="14.25" hidden="false" customHeight="true" outlineLevel="0" collapsed="false">
      <c r="A101" s="141"/>
      <c r="B101" s="142"/>
      <c r="C101" s="143"/>
      <c r="D101" s="144"/>
      <c r="E101" s="119"/>
      <c r="F101" s="120"/>
      <c r="G101" s="119"/>
      <c r="H101" s="120"/>
      <c r="I101" s="119"/>
      <c r="J101" s="120"/>
      <c r="K101" s="119"/>
      <c r="L101" s="120"/>
      <c r="M101" s="119"/>
      <c r="N101" s="120"/>
      <c r="O101" s="119"/>
      <c r="P101" s="120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customFormat="false" ht="14.25" hidden="false" customHeight="true" outlineLevel="0" collapsed="false">
      <c r="A102" s="141"/>
      <c r="B102" s="142"/>
      <c r="C102" s="143"/>
      <c r="D102" s="144"/>
      <c r="E102" s="119"/>
      <c r="F102" s="120"/>
      <c r="G102" s="119"/>
      <c r="H102" s="120"/>
      <c r="I102" s="119"/>
      <c r="J102" s="120"/>
      <c r="K102" s="119"/>
      <c r="L102" s="120"/>
      <c r="M102" s="119"/>
      <c r="N102" s="120"/>
      <c r="O102" s="119"/>
      <c r="P102" s="120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customFormat="false" ht="14.25" hidden="false" customHeight="true" outlineLevel="0" collapsed="false">
      <c r="A103" s="141"/>
      <c r="B103" s="142"/>
      <c r="C103" s="143"/>
      <c r="D103" s="144"/>
      <c r="E103" s="119"/>
      <c r="F103" s="120"/>
      <c r="G103" s="119"/>
      <c r="H103" s="120"/>
      <c r="I103" s="119"/>
      <c r="J103" s="120"/>
      <c r="K103" s="119"/>
      <c r="L103" s="120"/>
      <c r="M103" s="119"/>
      <c r="N103" s="120"/>
      <c r="O103" s="119"/>
      <c r="P103" s="120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customFormat="false" ht="14.25" hidden="false" customHeight="true" outlineLevel="0" collapsed="false">
      <c r="A104" s="141"/>
      <c r="B104" s="142"/>
      <c r="C104" s="143"/>
      <c r="D104" s="144"/>
      <c r="E104" s="119"/>
      <c r="F104" s="120"/>
      <c r="G104" s="119"/>
      <c r="H104" s="120"/>
      <c r="I104" s="119"/>
      <c r="J104" s="120"/>
      <c r="K104" s="119"/>
      <c r="L104" s="120"/>
      <c r="M104" s="119"/>
      <c r="N104" s="120"/>
      <c r="O104" s="119"/>
      <c r="P104" s="120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customFormat="false" ht="14.25" hidden="false" customHeight="true" outlineLevel="0" collapsed="false">
      <c r="A105" s="141"/>
      <c r="B105" s="142"/>
      <c r="C105" s="143"/>
      <c r="D105" s="144"/>
      <c r="E105" s="119"/>
      <c r="F105" s="120"/>
      <c r="G105" s="119"/>
      <c r="H105" s="120"/>
      <c r="I105" s="119"/>
      <c r="J105" s="120"/>
      <c r="K105" s="119"/>
      <c r="L105" s="120"/>
      <c r="M105" s="119"/>
      <c r="N105" s="120"/>
      <c r="O105" s="119"/>
      <c r="P105" s="120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customFormat="false" ht="14.25" hidden="false" customHeight="true" outlineLevel="0" collapsed="false">
      <c r="A106" s="141"/>
      <c r="B106" s="142"/>
      <c r="C106" s="143"/>
      <c r="D106" s="144"/>
      <c r="E106" s="119"/>
      <c r="F106" s="120"/>
      <c r="G106" s="119"/>
      <c r="H106" s="120"/>
      <c r="I106" s="119"/>
      <c r="J106" s="120"/>
      <c r="K106" s="119"/>
      <c r="L106" s="120"/>
      <c r="M106" s="119"/>
      <c r="N106" s="120"/>
      <c r="O106" s="119"/>
      <c r="P106" s="120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customFormat="false" ht="14.25" hidden="false" customHeight="true" outlineLevel="0" collapsed="false">
      <c r="A107" s="141"/>
      <c r="B107" s="142"/>
      <c r="C107" s="143"/>
      <c r="D107" s="144"/>
      <c r="E107" s="119"/>
      <c r="F107" s="120"/>
      <c r="G107" s="119"/>
      <c r="H107" s="120"/>
      <c r="I107" s="119"/>
      <c r="J107" s="120"/>
      <c r="K107" s="119"/>
      <c r="L107" s="120"/>
      <c r="M107" s="119"/>
      <c r="N107" s="120"/>
      <c r="O107" s="119"/>
      <c r="P107" s="120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customFormat="false" ht="14.25" hidden="false" customHeight="true" outlineLevel="0" collapsed="false">
      <c r="A108" s="141"/>
      <c r="B108" s="142"/>
      <c r="C108" s="143"/>
      <c r="D108" s="144"/>
      <c r="E108" s="119"/>
      <c r="F108" s="120"/>
      <c r="G108" s="119"/>
      <c r="H108" s="120"/>
      <c r="I108" s="119"/>
      <c r="J108" s="120"/>
      <c r="K108" s="119"/>
      <c r="L108" s="120"/>
      <c r="M108" s="119"/>
      <c r="N108" s="120"/>
      <c r="O108" s="119"/>
      <c r="P108" s="120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customFormat="false" ht="14.25" hidden="false" customHeight="true" outlineLevel="0" collapsed="false">
      <c r="A109" s="141"/>
      <c r="B109" s="142"/>
      <c r="C109" s="143"/>
      <c r="D109" s="144"/>
      <c r="E109" s="119"/>
      <c r="F109" s="120"/>
      <c r="G109" s="119"/>
      <c r="H109" s="120"/>
      <c r="I109" s="119"/>
      <c r="J109" s="120"/>
      <c r="K109" s="119"/>
      <c r="L109" s="120"/>
      <c r="M109" s="119"/>
      <c r="N109" s="120"/>
      <c r="O109" s="119"/>
      <c r="P109" s="120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customFormat="false" ht="14.25" hidden="false" customHeight="true" outlineLevel="0" collapsed="false">
      <c r="A110" s="141"/>
      <c r="B110" s="142"/>
      <c r="C110" s="143"/>
      <c r="D110" s="144"/>
      <c r="E110" s="119"/>
      <c r="F110" s="120"/>
      <c r="G110" s="119"/>
      <c r="H110" s="120"/>
      <c r="I110" s="119"/>
      <c r="J110" s="120"/>
      <c r="K110" s="119"/>
      <c r="L110" s="120"/>
      <c r="M110" s="119"/>
      <c r="N110" s="120"/>
      <c r="O110" s="119"/>
      <c r="P110" s="120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customFormat="false" ht="14.25" hidden="false" customHeight="true" outlineLevel="0" collapsed="false">
      <c r="A111" s="141"/>
      <c r="B111" s="142"/>
      <c r="C111" s="143"/>
      <c r="D111" s="144"/>
      <c r="E111" s="119"/>
      <c r="F111" s="120"/>
      <c r="G111" s="119"/>
      <c r="H111" s="120"/>
      <c r="I111" s="119"/>
      <c r="J111" s="120"/>
      <c r="K111" s="119"/>
      <c r="L111" s="120"/>
      <c r="M111" s="119"/>
      <c r="N111" s="120"/>
      <c r="O111" s="119"/>
      <c r="P111" s="120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customFormat="false" ht="14.25" hidden="false" customHeight="true" outlineLevel="0" collapsed="false">
      <c r="A112" s="141"/>
      <c r="B112" s="142"/>
      <c r="C112" s="143"/>
      <c r="D112" s="144"/>
      <c r="E112" s="119"/>
      <c r="F112" s="120"/>
      <c r="G112" s="119"/>
      <c r="H112" s="120"/>
      <c r="I112" s="119"/>
      <c r="J112" s="120"/>
      <c r="K112" s="119"/>
      <c r="L112" s="120"/>
      <c r="M112" s="119"/>
      <c r="N112" s="120"/>
      <c r="O112" s="119"/>
      <c r="P112" s="120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customFormat="false" ht="14.25" hidden="false" customHeight="true" outlineLevel="0" collapsed="false">
      <c r="A113" s="141"/>
      <c r="B113" s="142"/>
      <c r="C113" s="143"/>
      <c r="D113" s="144"/>
      <c r="E113" s="119"/>
      <c r="F113" s="120"/>
      <c r="G113" s="119"/>
      <c r="H113" s="120"/>
      <c r="I113" s="119"/>
      <c r="J113" s="120"/>
      <c r="K113" s="119"/>
      <c r="L113" s="120"/>
      <c r="M113" s="119"/>
      <c r="N113" s="120"/>
      <c r="O113" s="119"/>
      <c r="P113" s="120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customFormat="false" ht="14.25" hidden="false" customHeight="true" outlineLevel="0" collapsed="false">
      <c r="A114" s="141"/>
      <c r="B114" s="142"/>
      <c r="C114" s="143"/>
      <c r="D114" s="144"/>
      <c r="E114" s="119"/>
      <c r="F114" s="120"/>
      <c r="G114" s="119"/>
      <c r="H114" s="120"/>
      <c r="I114" s="119"/>
      <c r="J114" s="120"/>
      <c r="K114" s="119"/>
      <c r="L114" s="120"/>
      <c r="M114" s="119"/>
      <c r="N114" s="120"/>
      <c r="O114" s="119"/>
      <c r="P114" s="120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customFormat="false" ht="14.25" hidden="false" customHeight="true" outlineLevel="0" collapsed="false">
      <c r="A115" s="141"/>
      <c r="B115" s="142"/>
      <c r="C115" s="143"/>
      <c r="D115" s="144"/>
      <c r="E115" s="119"/>
      <c r="F115" s="120"/>
      <c r="G115" s="119"/>
      <c r="H115" s="120"/>
      <c r="I115" s="119"/>
      <c r="J115" s="120"/>
      <c r="K115" s="119"/>
      <c r="L115" s="120"/>
      <c r="M115" s="119"/>
      <c r="N115" s="120"/>
      <c r="O115" s="119"/>
      <c r="P115" s="120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customFormat="false" ht="14.25" hidden="false" customHeight="true" outlineLevel="0" collapsed="false">
      <c r="A116" s="141"/>
      <c r="B116" s="142"/>
      <c r="C116" s="143"/>
      <c r="D116" s="144"/>
      <c r="E116" s="119"/>
      <c r="F116" s="120"/>
      <c r="G116" s="119"/>
      <c r="H116" s="120"/>
      <c r="I116" s="119"/>
      <c r="J116" s="120"/>
      <c r="K116" s="119"/>
      <c r="L116" s="120"/>
      <c r="M116" s="119"/>
      <c r="N116" s="120"/>
      <c r="O116" s="119"/>
      <c r="P116" s="120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customFormat="false" ht="14.25" hidden="false" customHeight="true" outlineLevel="0" collapsed="false">
      <c r="A117" s="141"/>
      <c r="B117" s="142"/>
      <c r="C117" s="143"/>
      <c r="D117" s="144"/>
      <c r="E117" s="119"/>
      <c r="F117" s="120"/>
      <c r="G117" s="119"/>
      <c r="H117" s="120"/>
      <c r="I117" s="119"/>
      <c r="J117" s="120"/>
      <c r="K117" s="119"/>
      <c r="L117" s="120"/>
      <c r="M117" s="119"/>
      <c r="N117" s="120"/>
      <c r="O117" s="119"/>
      <c r="P117" s="120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customFormat="false" ht="14.25" hidden="false" customHeight="true" outlineLevel="0" collapsed="false">
      <c r="A118" s="141"/>
      <c r="B118" s="142"/>
      <c r="C118" s="143"/>
      <c r="D118" s="144"/>
      <c r="E118" s="119"/>
      <c r="F118" s="120"/>
      <c r="G118" s="119"/>
      <c r="H118" s="120"/>
      <c r="I118" s="119"/>
      <c r="J118" s="120"/>
      <c r="K118" s="119"/>
      <c r="L118" s="120"/>
      <c r="M118" s="119"/>
      <c r="N118" s="120"/>
      <c r="O118" s="119"/>
      <c r="P118" s="120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customFormat="false" ht="14.25" hidden="false" customHeight="true" outlineLevel="0" collapsed="false">
      <c r="A119" s="141"/>
      <c r="B119" s="142"/>
      <c r="C119" s="143"/>
      <c r="D119" s="144"/>
      <c r="E119" s="119"/>
      <c r="F119" s="120"/>
      <c r="G119" s="119"/>
      <c r="H119" s="120"/>
      <c r="I119" s="119"/>
      <c r="J119" s="120"/>
      <c r="K119" s="119"/>
      <c r="L119" s="120"/>
      <c r="M119" s="119"/>
      <c r="N119" s="120"/>
      <c r="O119" s="119"/>
      <c r="P119" s="120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customFormat="false" ht="14.25" hidden="false" customHeight="true" outlineLevel="0" collapsed="false">
      <c r="A120" s="141"/>
      <c r="B120" s="142"/>
      <c r="C120" s="143"/>
      <c r="D120" s="144"/>
      <c r="E120" s="119"/>
      <c r="F120" s="120"/>
      <c r="G120" s="119"/>
      <c r="H120" s="120"/>
      <c r="I120" s="119"/>
      <c r="J120" s="120"/>
      <c r="K120" s="119"/>
      <c r="L120" s="120"/>
      <c r="M120" s="119"/>
      <c r="N120" s="120"/>
      <c r="O120" s="119"/>
      <c r="P120" s="120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customFormat="false" ht="14.25" hidden="false" customHeight="true" outlineLevel="0" collapsed="false">
      <c r="A121" s="141"/>
      <c r="B121" s="142"/>
      <c r="C121" s="143"/>
      <c r="D121" s="144"/>
      <c r="E121" s="119"/>
      <c r="F121" s="120"/>
      <c r="G121" s="119"/>
      <c r="H121" s="120"/>
      <c r="I121" s="119"/>
      <c r="J121" s="120"/>
      <c r="K121" s="119"/>
      <c r="L121" s="120"/>
      <c r="M121" s="119"/>
      <c r="N121" s="120"/>
      <c r="O121" s="119"/>
      <c r="P121" s="120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customFormat="false" ht="14.25" hidden="false" customHeight="true" outlineLevel="0" collapsed="false">
      <c r="A122" s="141"/>
      <c r="B122" s="142"/>
      <c r="C122" s="143"/>
      <c r="D122" s="144"/>
      <c r="E122" s="119"/>
      <c r="F122" s="120"/>
      <c r="G122" s="119"/>
      <c r="H122" s="120"/>
      <c r="I122" s="119"/>
      <c r="J122" s="120"/>
      <c r="K122" s="119"/>
      <c r="L122" s="120"/>
      <c r="M122" s="119"/>
      <c r="N122" s="120"/>
      <c r="O122" s="119"/>
      <c r="P122" s="120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customFormat="false" ht="14.25" hidden="false" customHeight="true" outlineLevel="0" collapsed="false">
      <c r="A123" s="141"/>
      <c r="B123" s="142"/>
      <c r="C123" s="143"/>
      <c r="D123" s="144"/>
      <c r="E123" s="119"/>
      <c r="F123" s="120"/>
      <c r="G123" s="119"/>
      <c r="H123" s="120"/>
      <c r="I123" s="119"/>
      <c r="J123" s="120"/>
      <c r="K123" s="119"/>
      <c r="L123" s="120"/>
      <c r="M123" s="119"/>
      <c r="N123" s="120"/>
      <c r="O123" s="119"/>
      <c r="P123" s="120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customFormat="false" ht="14.25" hidden="false" customHeight="true" outlineLevel="0" collapsed="false">
      <c r="A124" s="141"/>
      <c r="B124" s="142"/>
      <c r="C124" s="143"/>
      <c r="D124" s="144"/>
      <c r="E124" s="119"/>
      <c r="F124" s="120"/>
      <c r="G124" s="119"/>
      <c r="H124" s="120"/>
      <c r="I124" s="119"/>
      <c r="J124" s="120"/>
      <c r="K124" s="119"/>
      <c r="L124" s="120"/>
      <c r="M124" s="119"/>
      <c r="N124" s="120"/>
      <c r="O124" s="119"/>
      <c r="P124" s="120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customFormat="false" ht="14.25" hidden="false" customHeight="true" outlineLevel="0" collapsed="false">
      <c r="A125" s="141"/>
      <c r="B125" s="142"/>
      <c r="C125" s="143"/>
      <c r="D125" s="144"/>
      <c r="E125" s="119"/>
      <c r="F125" s="120"/>
      <c r="G125" s="119"/>
      <c r="H125" s="120"/>
      <c r="I125" s="119"/>
      <c r="J125" s="120"/>
      <c r="K125" s="119"/>
      <c r="L125" s="120"/>
      <c r="M125" s="119"/>
      <c r="N125" s="120"/>
      <c r="O125" s="119"/>
      <c r="P125" s="120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customFormat="false" ht="14.25" hidden="false" customHeight="true" outlineLevel="0" collapsed="false">
      <c r="A126" s="141"/>
      <c r="B126" s="142"/>
      <c r="C126" s="143"/>
      <c r="D126" s="144"/>
      <c r="E126" s="119"/>
      <c r="F126" s="120"/>
      <c r="G126" s="119"/>
      <c r="H126" s="120"/>
      <c r="I126" s="119"/>
      <c r="J126" s="120"/>
      <c r="K126" s="119"/>
      <c r="L126" s="120"/>
      <c r="M126" s="119"/>
      <c r="N126" s="120"/>
      <c r="O126" s="119"/>
      <c r="P126" s="120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customFormat="false" ht="14.25" hidden="false" customHeight="true" outlineLevel="0" collapsed="false">
      <c r="A127" s="141"/>
      <c r="B127" s="142"/>
      <c r="C127" s="143"/>
      <c r="D127" s="144"/>
      <c r="E127" s="119"/>
      <c r="F127" s="120"/>
      <c r="G127" s="119"/>
      <c r="H127" s="120"/>
      <c r="I127" s="119"/>
      <c r="J127" s="120"/>
      <c r="K127" s="119"/>
      <c r="L127" s="120"/>
      <c r="M127" s="119"/>
      <c r="N127" s="120"/>
      <c r="O127" s="119"/>
      <c r="P127" s="120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customFormat="false" ht="14.25" hidden="false" customHeight="true" outlineLevel="0" collapsed="false">
      <c r="A128" s="141"/>
      <c r="B128" s="142"/>
      <c r="C128" s="143"/>
      <c r="D128" s="144"/>
      <c r="E128" s="119"/>
      <c r="F128" s="120"/>
      <c r="G128" s="119"/>
      <c r="H128" s="120"/>
      <c r="I128" s="119"/>
      <c r="J128" s="120"/>
      <c r="K128" s="119"/>
      <c r="L128" s="120"/>
      <c r="M128" s="119"/>
      <c r="N128" s="120"/>
      <c r="O128" s="119"/>
      <c r="P128" s="120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customFormat="false" ht="14.25" hidden="false" customHeight="true" outlineLevel="0" collapsed="false">
      <c r="A129" s="141"/>
      <c r="B129" s="142"/>
      <c r="C129" s="143"/>
      <c r="D129" s="144"/>
      <c r="E129" s="119"/>
      <c r="F129" s="120"/>
      <c r="G129" s="119"/>
      <c r="H129" s="120"/>
      <c r="I129" s="119"/>
      <c r="J129" s="120"/>
      <c r="K129" s="119"/>
      <c r="L129" s="120"/>
      <c r="M129" s="119"/>
      <c r="N129" s="120"/>
      <c r="O129" s="119"/>
      <c r="P129" s="120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customFormat="false" ht="14.25" hidden="false" customHeight="true" outlineLevel="0" collapsed="false">
      <c r="A130" s="141"/>
      <c r="B130" s="142"/>
      <c r="C130" s="143"/>
      <c r="D130" s="144"/>
      <c r="E130" s="119"/>
      <c r="F130" s="120"/>
      <c r="G130" s="119"/>
      <c r="H130" s="120"/>
      <c r="I130" s="119"/>
      <c r="J130" s="120"/>
      <c r="K130" s="119"/>
      <c r="L130" s="120"/>
      <c r="M130" s="119"/>
      <c r="N130" s="120"/>
      <c r="O130" s="119"/>
      <c r="P130" s="120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customFormat="false" ht="14.25" hidden="false" customHeight="true" outlineLevel="0" collapsed="false">
      <c r="A131" s="141"/>
      <c r="B131" s="142"/>
      <c r="C131" s="143"/>
      <c r="D131" s="144"/>
      <c r="E131" s="119"/>
      <c r="F131" s="120"/>
      <c r="G131" s="119"/>
      <c r="H131" s="120"/>
      <c r="I131" s="119"/>
      <c r="J131" s="120"/>
      <c r="K131" s="119"/>
      <c r="L131" s="120"/>
      <c r="M131" s="119"/>
      <c r="N131" s="120"/>
      <c r="O131" s="119"/>
      <c r="P131" s="120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customFormat="false" ht="14.25" hidden="false" customHeight="true" outlineLevel="0" collapsed="false">
      <c r="A132" s="141"/>
      <c r="B132" s="142"/>
      <c r="C132" s="143"/>
      <c r="D132" s="144"/>
      <c r="E132" s="119"/>
      <c r="F132" s="120"/>
      <c r="G132" s="119"/>
      <c r="H132" s="120"/>
      <c r="I132" s="119"/>
      <c r="J132" s="120"/>
      <c r="K132" s="119"/>
      <c r="L132" s="120"/>
      <c r="M132" s="119"/>
      <c r="N132" s="120"/>
      <c r="O132" s="119"/>
      <c r="P132" s="120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customFormat="false" ht="14.25" hidden="false" customHeight="true" outlineLevel="0" collapsed="false">
      <c r="A133" s="141"/>
      <c r="B133" s="142"/>
      <c r="C133" s="143"/>
      <c r="D133" s="144"/>
      <c r="E133" s="119"/>
      <c r="F133" s="120"/>
      <c r="G133" s="119"/>
      <c r="H133" s="120"/>
      <c r="I133" s="119"/>
      <c r="J133" s="120"/>
      <c r="K133" s="119"/>
      <c r="L133" s="120"/>
      <c r="M133" s="119"/>
      <c r="N133" s="120"/>
      <c r="O133" s="119"/>
      <c r="P133" s="120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customFormat="false" ht="14.25" hidden="false" customHeight="true" outlineLevel="0" collapsed="false">
      <c r="A134" s="141"/>
      <c r="B134" s="142"/>
      <c r="C134" s="143"/>
      <c r="D134" s="144"/>
      <c r="E134" s="119"/>
      <c r="F134" s="120"/>
      <c r="G134" s="119"/>
      <c r="H134" s="120"/>
      <c r="I134" s="119"/>
      <c r="J134" s="120"/>
      <c r="K134" s="119"/>
      <c r="L134" s="120"/>
      <c r="M134" s="119"/>
      <c r="N134" s="120"/>
      <c r="O134" s="119"/>
      <c r="P134" s="120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customFormat="false" ht="14.25" hidden="false" customHeight="true" outlineLevel="0" collapsed="false">
      <c r="A135" s="141"/>
      <c r="B135" s="142"/>
      <c r="C135" s="143"/>
      <c r="D135" s="144"/>
      <c r="E135" s="119"/>
      <c r="F135" s="120"/>
      <c r="G135" s="119"/>
      <c r="H135" s="120"/>
      <c r="I135" s="119"/>
      <c r="J135" s="120"/>
      <c r="K135" s="119"/>
      <c r="L135" s="120"/>
      <c r="M135" s="119"/>
      <c r="N135" s="120"/>
      <c r="O135" s="119"/>
      <c r="P135" s="120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customFormat="false" ht="14.25" hidden="false" customHeight="true" outlineLevel="0" collapsed="false">
      <c r="A136" s="141"/>
      <c r="B136" s="142"/>
      <c r="C136" s="143"/>
      <c r="D136" s="144"/>
      <c r="E136" s="119"/>
      <c r="F136" s="120"/>
      <c r="G136" s="119"/>
      <c r="H136" s="120"/>
      <c r="I136" s="119"/>
      <c r="J136" s="120"/>
      <c r="K136" s="119"/>
      <c r="L136" s="120"/>
      <c r="M136" s="119"/>
      <c r="N136" s="120"/>
      <c r="O136" s="119"/>
      <c r="P136" s="120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customFormat="false" ht="14.25" hidden="false" customHeight="true" outlineLevel="0" collapsed="false">
      <c r="A137" s="141"/>
      <c r="B137" s="142"/>
      <c r="C137" s="143"/>
      <c r="D137" s="144"/>
      <c r="E137" s="119"/>
      <c r="F137" s="120"/>
      <c r="G137" s="119"/>
      <c r="H137" s="120"/>
      <c r="I137" s="119"/>
      <c r="J137" s="120"/>
      <c r="K137" s="119"/>
      <c r="L137" s="120"/>
      <c r="M137" s="119"/>
      <c r="N137" s="120"/>
      <c r="O137" s="119"/>
      <c r="P137" s="120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customFormat="false" ht="14.25" hidden="false" customHeight="true" outlineLevel="0" collapsed="false">
      <c r="A138" s="141"/>
      <c r="B138" s="142"/>
      <c r="C138" s="143"/>
      <c r="D138" s="144"/>
      <c r="E138" s="119"/>
      <c r="F138" s="120"/>
      <c r="G138" s="119"/>
      <c r="H138" s="120"/>
      <c r="I138" s="119"/>
      <c r="J138" s="120"/>
      <c r="K138" s="119"/>
      <c r="L138" s="120"/>
      <c r="M138" s="119"/>
      <c r="N138" s="120"/>
      <c r="O138" s="119"/>
      <c r="P138" s="120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customFormat="false" ht="14.25" hidden="false" customHeight="true" outlineLevel="0" collapsed="false">
      <c r="A139" s="141"/>
      <c r="B139" s="142"/>
      <c r="C139" s="143"/>
      <c r="D139" s="144"/>
      <c r="E139" s="119"/>
      <c r="F139" s="120"/>
      <c r="G139" s="119"/>
      <c r="H139" s="120"/>
      <c r="I139" s="119"/>
      <c r="J139" s="120"/>
      <c r="K139" s="119"/>
      <c r="L139" s="120"/>
      <c r="M139" s="119"/>
      <c r="N139" s="120"/>
      <c r="O139" s="119"/>
      <c r="P139" s="120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customFormat="false" ht="14.25" hidden="false" customHeight="true" outlineLevel="0" collapsed="false">
      <c r="A140" s="141"/>
      <c r="B140" s="142"/>
      <c r="C140" s="143"/>
      <c r="D140" s="144"/>
      <c r="E140" s="119"/>
      <c r="F140" s="120"/>
      <c r="G140" s="119"/>
      <c r="H140" s="120"/>
      <c r="I140" s="119"/>
      <c r="J140" s="120"/>
      <c r="K140" s="119"/>
      <c r="L140" s="120"/>
      <c r="M140" s="119"/>
      <c r="N140" s="120"/>
      <c r="O140" s="119"/>
      <c r="P140" s="120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customFormat="false" ht="14.25" hidden="false" customHeight="true" outlineLevel="0" collapsed="false">
      <c r="A141" s="141"/>
      <c r="B141" s="142"/>
      <c r="C141" s="143"/>
      <c r="D141" s="144"/>
      <c r="E141" s="119"/>
      <c r="F141" s="120"/>
      <c r="G141" s="119"/>
      <c r="H141" s="120"/>
      <c r="I141" s="119"/>
      <c r="J141" s="120"/>
      <c r="K141" s="119"/>
      <c r="L141" s="120"/>
      <c r="M141" s="119"/>
      <c r="N141" s="120"/>
      <c r="O141" s="119"/>
      <c r="P141" s="120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customFormat="false" ht="14.25" hidden="false" customHeight="true" outlineLevel="0" collapsed="false">
      <c r="A142" s="141"/>
      <c r="B142" s="142"/>
      <c r="C142" s="143"/>
      <c r="D142" s="144"/>
      <c r="E142" s="119"/>
      <c r="F142" s="120"/>
      <c r="G142" s="119"/>
      <c r="H142" s="120"/>
      <c r="I142" s="119"/>
      <c r="J142" s="120"/>
      <c r="K142" s="119"/>
      <c r="L142" s="120"/>
      <c r="M142" s="119"/>
      <c r="N142" s="120"/>
      <c r="O142" s="119"/>
      <c r="P142" s="120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customFormat="false" ht="14.25" hidden="false" customHeight="true" outlineLevel="0" collapsed="false">
      <c r="A143" s="141"/>
      <c r="B143" s="142"/>
      <c r="C143" s="143"/>
      <c r="D143" s="144"/>
      <c r="E143" s="119"/>
      <c r="F143" s="120"/>
      <c r="G143" s="119"/>
      <c r="H143" s="120"/>
      <c r="I143" s="119"/>
      <c r="J143" s="120"/>
      <c r="K143" s="119"/>
      <c r="L143" s="120"/>
      <c r="M143" s="119"/>
      <c r="N143" s="120"/>
      <c r="O143" s="119"/>
      <c r="P143" s="120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customFormat="false" ht="14.25" hidden="false" customHeight="true" outlineLevel="0" collapsed="false">
      <c r="A144" s="141"/>
      <c r="B144" s="142"/>
      <c r="C144" s="143"/>
      <c r="D144" s="144"/>
      <c r="E144" s="119"/>
      <c r="F144" s="120"/>
      <c r="G144" s="119"/>
      <c r="H144" s="120"/>
      <c r="I144" s="119"/>
      <c r="J144" s="120"/>
      <c r="K144" s="119"/>
      <c r="L144" s="120"/>
      <c r="M144" s="119"/>
      <c r="N144" s="120"/>
      <c r="O144" s="119"/>
      <c r="P144" s="120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customFormat="false" ht="14.25" hidden="false" customHeight="true" outlineLevel="0" collapsed="false">
      <c r="A145" s="141"/>
      <c r="B145" s="142"/>
      <c r="C145" s="143"/>
      <c r="D145" s="144"/>
      <c r="E145" s="119"/>
      <c r="F145" s="120"/>
      <c r="G145" s="119"/>
      <c r="H145" s="120"/>
      <c r="I145" s="119"/>
      <c r="J145" s="120"/>
      <c r="K145" s="119"/>
      <c r="L145" s="120"/>
      <c r="M145" s="119"/>
      <c r="N145" s="120"/>
      <c r="O145" s="119"/>
      <c r="P145" s="120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customFormat="false" ht="14.25" hidden="false" customHeight="true" outlineLevel="0" collapsed="false">
      <c r="A146" s="141"/>
      <c r="B146" s="142"/>
      <c r="C146" s="143"/>
      <c r="D146" s="144"/>
      <c r="E146" s="119"/>
      <c r="F146" s="120"/>
      <c r="G146" s="119"/>
      <c r="H146" s="120"/>
      <c r="I146" s="119"/>
      <c r="J146" s="120"/>
      <c r="K146" s="119"/>
      <c r="L146" s="120"/>
      <c r="M146" s="119"/>
      <c r="N146" s="120"/>
      <c r="O146" s="119"/>
      <c r="P146" s="120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customFormat="false" ht="14.25" hidden="false" customHeight="true" outlineLevel="0" collapsed="false">
      <c r="A147" s="141"/>
      <c r="B147" s="142"/>
      <c r="C147" s="143"/>
      <c r="D147" s="144"/>
      <c r="E147" s="119"/>
      <c r="F147" s="120"/>
      <c r="G147" s="119"/>
      <c r="H147" s="120"/>
      <c r="I147" s="119"/>
      <c r="J147" s="120"/>
      <c r="K147" s="119"/>
      <c r="L147" s="120"/>
      <c r="M147" s="119"/>
      <c r="N147" s="120"/>
      <c r="O147" s="119"/>
      <c r="P147" s="120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customFormat="false" ht="14.25" hidden="false" customHeight="true" outlineLevel="0" collapsed="false">
      <c r="A148" s="141"/>
      <c r="B148" s="142"/>
      <c r="C148" s="143"/>
      <c r="D148" s="144"/>
      <c r="E148" s="119"/>
      <c r="F148" s="120"/>
      <c r="G148" s="119"/>
      <c r="H148" s="120"/>
      <c r="I148" s="119"/>
      <c r="J148" s="120"/>
      <c r="K148" s="119"/>
      <c r="L148" s="120"/>
      <c r="M148" s="119"/>
      <c r="N148" s="120"/>
      <c r="O148" s="119"/>
      <c r="P148" s="120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customFormat="false" ht="14.25" hidden="false" customHeight="true" outlineLevel="0" collapsed="false">
      <c r="A149" s="141"/>
      <c r="B149" s="142"/>
      <c r="C149" s="143"/>
      <c r="D149" s="144"/>
      <c r="E149" s="119"/>
      <c r="F149" s="120"/>
      <c r="G149" s="119"/>
      <c r="H149" s="120"/>
      <c r="I149" s="119"/>
      <c r="J149" s="120"/>
      <c r="K149" s="119"/>
      <c r="L149" s="120"/>
      <c r="M149" s="119"/>
      <c r="N149" s="120"/>
      <c r="O149" s="119"/>
      <c r="P149" s="120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customFormat="false" ht="14.25" hidden="false" customHeight="true" outlineLevel="0" collapsed="false">
      <c r="A150" s="141"/>
      <c r="B150" s="142"/>
      <c r="C150" s="143"/>
      <c r="D150" s="144"/>
      <c r="E150" s="119"/>
      <c r="F150" s="120"/>
      <c r="G150" s="119"/>
      <c r="H150" s="120"/>
      <c r="I150" s="119"/>
      <c r="J150" s="120"/>
      <c r="K150" s="119"/>
      <c r="L150" s="120"/>
      <c r="M150" s="119"/>
      <c r="N150" s="120"/>
      <c r="O150" s="119"/>
      <c r="P150" s="120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customFormat="false" ht="14.25" hidden="false" customHeight="true" outlineLevel="0" collapsed="false">
      <c r="A151" s="141"/>
      <c r="B151" s="142"/>
      <c r="C151" s="143"/>
      <c r="D151" s="144"/>
      <c r="E151" s="119"/>
      <c r="F151" s="120"/>
      <c r="G151" s="119"/>
      <c r="H151" s="120"/>
      <c r="I151" s="119"/>
      <c r="J151" s="120"/>
      <c r="K151" s="119"/>
      <c r="L151" s="120"/>
      <c r="M151" s="119"/>
      <c r="N151" s="120"/>
      <c r="O151" s="119"/>
      <c r="P151" s="120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customFormat="false" ht="14.25" hidden="false" customHeight="true" outlineLevel="0" collapsed="false">
      <c r="A152" s="141"/>
      <c r="B152" s="142"/>
      <c r="C152" s="143"/>
      <c r="D152" s="144"/>
      <c r="E152" s="119"/>
      <c r="F152" s="120"/>
      <c r="G152" s="119"/>
      <c r="H152" s="120"/>
      <c r="I152" s="119"/>
      <c r="J152" s="120"/>
      <c r="K152" s="119"/>
      <c r="L152" s="120"/>
      <c r="M152" s="119"/>
      <c r="N152" s="120"/>
      <c r="O152" s="119"/>
      <c r="P152" s="120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customFormat="false" ht="14.25" hidden="false" customHeight="true" outlineLevel="0" collapsed="false">
      <c r="A153" s="141"/>
      <c r="B153" s="142"/>
      <c r="C153" s="143"/>
      <c r="D153" s="144"/>
      <c r="E153" s="119"/>
      <c r="F153" s="120"/>
      <c r="G153" s="119"/>
      <c r="H153" s="120"/>
      <c r="I153" s="119"/>
      <c r="J153" s="120"/>
      <c r="K153" s="119"/>
      <c r="L153" s="120"/>
      <c r="M153" s="119"/>
      <c r="N153" s="120"/>
      <c r="O153" s="119"/>
      <c r="P153" s="120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customFormat="false" ht="14.25" hidden="false" customHeight="true" outlineLevel="0" collapsed="false">
      <c r="A154" s="141"/>
      <c r="B154" s="142"/>
      <c r="C154" s="143"/>
      <c r="D154" s="144"/>
      <c r="E154" s="119"/>
      <c r="F154" s="120"/>
      <c r="G154" s="119"/>
      <c r="H154" s="120"/>
      <c r="I154" s="119"/>
      <c r="J154" s="120"/>
      <c r="K154" s="119"/>
      <c r="L154" s="120"/>
      <c r="M154" s="119"/>
      <c r="N154" s="120"/>
      <c r="O154" s="119"/>
      <c r="P154" s="120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customFormat="false" ht="14.25" hidden="false" customHeight="true" outlineLevel="0" collapsed="false">
      <c r="A155" s="141"/>
      <c r="B155" s="142"/>
      <c r="C155" s="143"/>
      <c r="D155" s="144"/>
      <c r="E155" s="119"/>
      <c r="F155" s="120"/>
      <c r="G155" s="119"/>
      <c r="H155" s="120"/>
      <c r="I155" s="119"/>
      <c r="J155" s="120"/>
      <c r="K155" s="119"/>
      <c r="L155" s="120"/>
      <c r="M155" s="119"/>
      <c r="N155" s="120"/>
      <c r="O155" s="119"/>
      <c r="P155" s="120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customFormat="false" ht="14.25" hidden="false" customHeight="true" outlineLevel="0" collapsed="false">
      <c r="A156" s="141"/>
      <c r="B156" s="142"/>
      <c r="C156" s="143"/>
      <c r="D156" s="144"/>
      <c r="E156" s="119"/>
      <c r="F156" s="120"/>
      <c r="G156" s="119"/>
      <c r="H156" s="120"/>
      <c r="I156" s="119"/>
      <c r="J156" s="120"/>
      <c r="K156" s="119"/>
      <c r="L156" s="120"/>
      <c r="M156" s="119"/>
      <c r="N156" s="120"/>
      <c r="O156" s="119"/>
      <c r="P156" s="120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customFormat="false" ht="14.25" hidden="false" customHeight="true" outlineLevel="0" collapsed="false">
      <c r="A157" s="141"/>
      <c r="B157" s="142"/>
      <c r="C157" s="143"/>
      <c r="D157" s="144"/>
      <c r="E157" s="119"/>
      <c r="F157" s="120"/>
      <c r="G157" s="119"/>
      <c r="H157" s="120"/>
      <c r="I157" s="119"/>
      <c r="J157" s="120"/>
      <c r="K157" s="119"/>
      <c r="L157" s="120"/>
      <c r="M157" s="119"/>
      <c r="N157" s="120"/>
      <c r="O157" s="119"/>
      <c r="P157" s="120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customFormat="false" ht="14.25" hidden="false" customHeight="true" outlineLevel="0" collapsed="false">
      <c r="A158" s="141"/>
      <c r="B158" s="142"/>
      <c r="C158" s="143"/>
      <c r="D158" s="144"/>
      <c r="E158" s="119"/>
      <c r="F158" s="120"/>
      <c r="G158" s="119"/>
      <c r="H158" s="120"/>
      <c r="I158" s="119"/>
      <c r="J158" s="120"/>
      <c r="K158" s="119"/>
      <c r="L158" s="120"/>
      <c r="M158" s="119"/>
      <c r="N158" s="120"/>
      <c r="O158" s="119"/>
      <c r="P158" s="120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customFormat="false" ht="14.25" hidden="false" customHeight="true" outlineLevel="0" collapsed="false">
      <c r="A159" s="141"/>
      <c r="B159" s="142"/>
      <c r="C159" s="143"/>
      <c r="D159" s="144"/>
      <c r="E159" s="119"/>
      <c r="F159" s="120"/>
      <c r="G159" s="119"/>
      <c r="H159" s="120"/>
      <c r="I159" s="119"/>
      <c r="J159" s="120"/>
      <c r="K159" s="119"/>
      <c r="L159" s="120"/>
      <c r="M159" s="119"/>
      <c r="N159" s="120"/>
      <c r="O159" s="119"/>
      <c r="P159" s="120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customFormat="false" ht="14.25" hidden="false" customHeight="true" outlineLevel="0" collapsed="false">
      <c r="A160" s="141"/>
      <c r="B160" s="142"/>
      <c r="C160" s="143"/>
      <c r="D160" s="144"/>
      <c r="E160" s="119"/>
      <c r="F160" s="120"/>
      <c r="G160" s="119"/>
      <c r="H160" s="120"/>
      <c r="I160" s="119"/>
      <c r="J160" s="120"/>
      <c r="K160" s="119"/>
      <c r="L160" s="120"/>
      <c r="M160" s="119"/>
      <c r="N160" s="120"/>
      <c r="O160" s="119"/>
      <c r="P160" s="120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customFormat="false" ht="14.25" hidden="false" customHeight="true" outlineLevel="0" collapsed="false">
      <c r="A161" s="141"/>
      <c r="B161" s="142"/>
      <c r="C161" s="143"/>
      <c r="D161" s="144"/>
      <c r="E161" s="119"/>
      <c r="F161" s="120"/>
      <c r="G161" s="119"/>
      <c r="H161" s="120"/>
      <c r="I161" s="119"/>
      <c r="J161" s="120"/>
      <c r="K161" s="119"/>
      <c r="L161" s="120"/>
      <c r="M161" s="119"/>
      <c r="N161" s="120"/>
      <c r="O161" s="119"/>
      <c r="P161" s="120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customFormat="false" ht="14.25" hidden="false" customHeight="true" outlineLevel="0" collapsed="false">
      <c r="A162" s="141"/>
      <c r="B162" s="142"/>
      <c r="C162" s="143"/>
      <c r="D162" s="144"/>
      <c r="E162" s="119"/>
      <c r="F162" s="120"/>
      <c r="G162" s="119"/>
      <c r="H162" s="120"/>
      <c r="I162" s="119"/>
      <c r="J162" s="120"/>
      <c r="K162" s="119"/>
      <c r="L162" s="120"/>
      <c r="M162" s="119"/>
      <c r="N162" s="120"/>
      <c r="O162" s="119"/>
      <c r="P162" s="120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customFormat="false" ht="14.25" hidden="false" customHeight="true" outlineLevel="0" collapsed="false">
      <c r="A163" s="141"/>
      <c r="B163" s="142"/>
      <c r="C163" s="143"/>
      <c r="D163" s="144"/>
      <c r="E163" s="119"/>
      <c r="F163" s="120"/>
      <c r="G163" s="119"/>
      <c r="H163" s="120"/>
      <c r="I163" s="119"/>
      <c r="J163" s="120"/>
      <c r="K163" s="119"/>
      <c r="L163" s="120"/>
      <c r="M163" s="119"/>
      <c r="N163" s="120"/>
      <c r="O163" s="119"/>
      <c r="P163" s="120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customFormat="false" ht="14.25" hidden="false" customHeight="true" outlineLevel="0" collapsed="false">
      <c r="A164" s="141"/>
      <c r="B164" s="142"/>
      <c r="C164" s="143"/>
      <c r="D164" s="144"/>
      <c r="E164" s="119"/>
      <c r="F164" s="120"/>
      <c r="G164" s="119"/>
      <c r="H164" s="120"/>
      <c r="I164" s="119"/>
      <c r="J164" s="120"/>
      <c r="K164" s="119"/>
      <c r="L164" s="120"/>
      <c r="M164" s="119"/>
      <c r="N164" s="120"/>
      <c r="O164" s="119"/>
      <c r="P164" s="120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customFormat="false" ht="14.25" hidden="false" customHeight="true" outlineLevel="0" collapsed="false">
      <c r="A165" s="141"/>
      <c r="B165" s="142"/>
      <c r="C165" s="143"/>
      <c r="D165" s="144"/>
      <c r="E165" s="119"/>
      <c r="F165" s="120"/>
      <c r="G165" s="119"/>
      <c r="H165" s="120"/>
      <c r="I165" s="119"/>
      <c r="J165" s="120"/>
      <c r="K165" s="119"/>
      <c r="L165" s="120"/>
      <c r="M165" s="119"/>
      <c r="N165" s="120"/>
      <c r="O165" s="119"/>
      <c r="P165" s="120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customFormat="false" ht="14.25" hidden="false" customHeight="true" outlineLevel="0" collapsed="false">
      <c r="A166" s="141"/>
      <c r="B166" s="142"/>
      <c r="C166" s="143"/>
      <c r="D166" s="144"/>
      <c r="E166" s="119"/>
      <c r="F166" s="120"/>
      <c r="G166" s="119"/>
      <c r="H166" s="120"/>
      <c r="I166" s="119"/>
      <c r="J166" s="120"/>
      <c r="K166" s="119"/>
      <c r="L166" s="120"/>
      <c r="M166" s="119"/>
      <c r="N166" s="120"/>
      <c r="O166" s="119"/>
      <c r="P166" s="120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customFormat="false" ht="14.25" hidden="false" customHeight="true" outlineLevel="0" collapsed="false">
      <c r="A167" s="141"/>
      <c r="B167" s="142"/>
      <c r="C167" s="143"/>
      <c r="D167" s="144"/>
      <c r="E167" s="119"/>
      <c r="F167" s="120"/>
      <c r="G167" s="119"/>
      <c r="H167" s="120"/>
      <c r="I167" s="119"/>
      <c r="J167" s="120"/>
      <c r="K167" s="119"/>
      <c r="L167" s="120"/>
      <c r="M167" s="119"/>
      <c r="N167" s="120"/>
      <c r="O167" s="119"/>
      <c r="P167" s="120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customFormat="false" ht="14.25" hidden="false" customHeight="true" outlineLevel="0" collapsed="false">
      <c r="A168" s="141"/>
      <c r="B168" s="142"/>
      <c r="C168" s="143"/>
      <c r="D168" s="144"/>
      <c r="E168" s="119"/>
      <c r="F168" s="120"/>
      <c r="G168" s="119"/>
      <c r="H168" s="120"/>
      <c r="I168" s="119"/>
      <c r="J168" s="120"/>
      <c r="K168" s="119"/>
      <c r="L168" s="120"/>
      <c r="M168" s="119"/>
      <c r="N168" s="120"/>
      <c r="O168" s="119"/>
      <c r="P168" s="120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customFormat="false" ht="14.25" hidden="false" customHeight="true" outlineLevel="0" collapsed="false">
      <c r="A169" s="141"/>
      <c r="B169" s="142"/>
      <c r="C169" s="143"/>
      <c r="D169" s="144"/>
      <c r="E169" s="119"/>
      <c r="F169" s="120"/>
      <c r="G169" s="119"/>
      <c r="H169" s="120"/>
      <c r="I169" s="119"/>
      <c r="J169" s="120"/>
      <c r="K169" s="119"/>
      <c r="L169" s="120"/>
      <c r="M169" s="119"/>
      <c r="N169" s="120"/>
      <c r="O169" s="119"/>
      <c r="P169" s="120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customFormat="false" ht="14.25" hidden="false" customHeight="true" outlineLevel="0" collapsed="false">
      <c r="A170" s="141"/>
      <c r="B170" s="142"/>
      <c r="C170" s="143"/>
      <c r="D170" s="144"/>
      <c r="E170" s="119"/>
      <c r="F170" s="120"/>
      <c r="G170" s="119"/>
      <c r="H170" s="120"/>
      <c r="I170" s="119"/>
      <c r="J170" s="120"/>
      <c r="K170" s="119"/>
      <c r="L170" s="120"/>
      <c r="M170" s="119"/>
      <c r="N170" s="120"/>
      <c r="O170" s="119"/>
      <c r="P170" s="120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customFormat="false" ht="14.25" hidden="false" customHeight="true" outlineLevel="0" collapsed="false">
      <c r="A171" s="141"/>
      <c r="B171" s="142"/>
      <c r="C171" s="143"/>
      <c r="D171" s="144"/>
      <c r="E171" s="119"/>
      <c r="F171" s="120"/>
      <c r="G171" s="119"/>
      <c r="H171" s="120"/>
      <c r="I171" s="119"/>
      <c r="J171" s="120"/>
      <c r="K171" s="119"/>
      <c r="L171" s="120"/>
      <c r="M171" s="119"/>
      <c r="N171" s="120"/>
      <c r="O171" s="119"/>
      <c r="P171" s="120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customFormat="false" ht="14.25" hidden="false" customHeight="true" outlineLevel="0" collapsed="false">
      <c r="A172" s="141"/>
      <c r="B172" s="142"/>
      <c r="C172" s="143"/>
      <c r="D172" s="144"/>
      <c r="E172" s="119"/>
      <c r="F172" s="120"/>
      <c r="G172" s="119"/>
      <c r="H172" s="120"/>
      <c r="I172" s="119"/>
      <c r="J172" s="120"/>
      <c r="K172" s="119"/>
      <c r="L172" s="120"/>
      <c r="M172" s="119"/>
      <c r="N172" s="120"/>
      <c r="O172" s="119"/>
      <c r="P172" s="120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customFormat="false" ht="14.25" hidden="false" customHeight="true" outlineLevel="0" collapsed="false">
      <c r="A173" s="141"/>
      <c r="B173" s="142"/>
      <c r="C173" s="143"/>
      <c r="D173" s="144"/>
      <c r="E173" s="119"/>
      <c r="F173" s="120"/>
      <c r="G173" s="119"/>
      <c r="H173" s="120"/>
      <c r="I173" s="119"/>
      <c r="J173" s="120"/>
      <c r="K173" s="119"/>
      <c r="L173" s="120"/>
      <c r="M173" s="119"/>
      <c r="N173" s="120"/>
      <c r="O173" s="119"/>
      <c r="P173" s="120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customFormat="false" ht="14.25" hidden="false" customHeight="true" outlineLevel="0" collapsed="false">
      <c r="A174" s="141"/>
      <c r="B174" s="142"/>
      <c r="C174" s="143"/>
      <c r="D174" s="144"/>
      <c r="E174" s="119"/>
      <c r="F174" s="120"/>
      <c r="G174" s="119"/>
      <c r="H174" s="120"/>
      <c r="I174" s="119"/>
      <c r="J174" s="120"/>
      <c r="K174" s="119"/>
      <c r="L174" s="120"/>
      <c r="M174" s="119"/>
      <c r="N174" s="120"/>
      <c r="O174" s="119"/>
      <c r="P174" s="120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customFormat="false" ht="14.25" hidden="false" customHeight="true" outlineLevel="0" collapsed="false">
      <c r="A175" s="141"/>
      <c r="B175" s="142"/>
      <c r="C175" s="143"/>
      <c r="D175" s="144"/>
      <c r="E175" s="119"/>
      <c r="F175" s="120"/>
      <c r="G175" s="119"/>
      <c r="H175" s="120"/>
      <c r="I175" s="119"/>
      <c r="J175" s="120"/>
      <c r="K175" s="119"/>
      <c r="L175" s="120"/>
      <c r="M175" s="119"/>
      <c r="N175" s="120"/>
      <c r="O175" s="119"/>
      <c r="P175" s="120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customFormat="false" ht="14.25" hidden="false" customHeight="true" outlineLevel="0" collapsed="false">
      <c r="A176" s="141"/>
      <c r="B176" s="142"/>
      <c r="C176" s="143"/>
      <c r="D176" s="144"/>
      <c r="E176" s="119"/>
      <c r="F176" s="120"/>
      <c r="G176" s="119"/>
      <c r="H176" s="120"/>
      <c r="I176" s="119"/>
      <c r="J176" s="120"/>
      <c r="K176" s="119"/>
      <c r="L176" s="120"/>
      <c r="M176" s="119"/>
      <c r="N176" s="120"/>
      <c r="O176" s="119"/>
      <c r="P176" s="120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customFormat="false" ht="14.25" hidden="false" customHeight="true" outlineLevel="0" collapsed="false">
      <c r="A177" s="141"/>
      <c r="B177" s="142"/>
      <c r="C177" s="143"/>
      <c r="D177" s="144"/>
      <c r="E177" s="119"/>
      <c r="F177" s="120"/>
      <c r="G177" s="119"/>
      <c r="H177" s="120"/>
      <c r="I177" s="119"/>
      <c r="J177" s="120"/>
      <c r="K177" s="119"/>
      <c r="L177" s="120"/>
      <c r="M177" s="119"/>
      <c r="N177" s="120"/>
      <c r="O177" s="119"/>
      <c r="P177" s="120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customFormat="false" ht="14.25" hidden="false" customHeight="true" outlineLevel="0" collapsed="false">
      <c r="A178" s="141"/>
      <c r="B178" s="142"/>
      <c r="C178" s="143"/>
      <c r="D178" s="144"/>
      <c r="E178" s="119"/>
      <c r="F178" s="120"/>
      <c r="G178" s="119"/>
      <c r="H178" s="120"/>
      <c r="I178" s="119"/>
      <c r="J178" s="120"/>
      <c r="K178" s="119"/>
      <c r="L178" s="120"/>
      <c r="M178" s="119"/>
      <c r="N178" s="120"/>
      <c r="O178" s="119"/>
      <c r="P178" s="120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customFormat="false" ht="14.25" hidden="false" customHeight="true" outlineLevel="0" collapsed="false">
      <c r="A179" s="141"/>
      <c r="B179" s="142"/>
      <c r="C179" s="143"/>
      <c r="D179" s="144"/>
      <c r="E179" s="119"/>
      <c r="F179" s="120"/>
      <c r="G179" s="119"/>
      <c r="H179" s="120"/>
      <c r="I179" s="119"/>
      <c r="J179" s="120"/>
      <c r="K179" s="119"/>
      <c r="L179" s="120"/>
      <c r="M179" s="119"/>
      <c r="N179" s="120"/>
      <c r="O179" s="119"/>
      <c r="P179" s="120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customFormat="false" ht="14.25" hidden="false" customHeight="true" outlineLevel="0" collapsed="false">
      <c r="A180" s="141"/>
      <c r="B180" s="142"/>
      <c r="C180" s="143"/>
      <c r="D180" s="144"/>
      <c r="E180" s="119"/>
      <c r="F180" s="120"/>
      <c r="G180" s="119"/>
      <c r="H180" s="120"/>
      <c r="I180" s="119"/>
      <c r="J180" s="120"/>
      <c r="K180" s="119"/>
      <c r="L180" s="120"/>
      <c r="M180" s="119"/>
      <c r="N180" s="120"/>
      <c r="O180" s="119"/>
      <c r="P180" s="120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customFormat="false" ht="14.25" hidden="false" customHeight="true" outlineLevel="0" collapsed="false">
      <c r="A181" s="141"/>
      <c r="B181" s="142"/>
      <c r="C181" s="143"/>
      <c r="D181" s="144"/>
      <c r="E181" s="119"/>
      <c r="F181" s="120"/>
      <c r="G181" s="119"/>
      <c r="H181" s="120"/>
      <c r="I181" s="119"/>
      <c r="J181" s="120"/>
      <c r="K181" s="119"/>
      <c r="L181" s="120"/>
      <c r="M181" s="119"/>
      <c r="N181" s="120"/>
      <c r="O181" s="119"/>
      <c r="P181" s="120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customFormat="false" ht="14.25" hidden="false" customHeight="true" outlineLevel="0" collapsed="false">
      <c r="A182" s="141"/>
      <c r="B182" s="142"/>
      <c r="C182" s="143"/>
      <c r="D182" s="144"/>
      <c r="E182" s="119"/>
      <c r="F182" s="120"/>
      <c r="G182" s="119"/>
      <c r="H182" s="120"/>
      <c r="I182" s="119"/>
      <c r="J182" s="120"/>
      <c r="K182" s="119"/>
      <c r="L182" s="120"/>
      <c r="M182" s="119"/>
      <c r="N182" s="120"/>
      <c r="O182" s="119"/>
      <c r="P182" s="120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customFormat="false" ht="14.25" hidden="false" customHeight="true" outlineLevel="0" collapsed="false">
      <c r="A183" s="141"/>
      <c r="B183" s="142"/>
      <c r="C183" s="143"/>
      <c r="D183" s="144"/>
      <c r="E183" s="119"/>
      <c r="F183" s="120"/>
      <c r="G183" s="119"/>
      <c r="H183" s="120"/>
      <c r="I183" s="119"/>
      <c r="J183" s="120"/>
      <c r="K183" s="119"/>
      <c r="L183" s="120"/>
      <c r="M183" s="119"/>
      <c r="N183" s="120"/>
      <c r="O183" s="119"/>
      <c r="P183" s="120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customFormat="false" ht="14.25" hidden="false" customHeight="true" outlineLevel="0" collapsed="false">
      <c r="A184" s="141"/>
      <c r="B184" s="142"/>
      <c r="C184" s="143"/>
      <c r="D184" s="144"/>
      <c r="E184" s="119"/>
      <c r="F184" s="120"/>
      <c r="G184" s="119"/>
      <c r="H184" s="120"/>
      <c r="I184" s="119"/>
      <c r="J184" s="120"/>
      <c r="K184" s="119"/>
      <c r="L184" s="120"/>
      <c r="M184" s="119"/>
      <c r="N184" s="120"/>
      <c r="O184" s="119"/>
      <c r="P184" s="120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customFormat="false" ht="14.25" hidden="false" customHeight="true" outlineLevel="0" collapsed="false">
      <c r="A185" s="141"/>
      <c r="B185" s="142"/>
      <c r="C185" s="143"/>
      <c r="D185" s="144"/>
      <c r="E185" s="119"/>
      <c r="F185" s="120"/>
      <c r="G185" s="119"/>
      <c r="H185" s="120"/>
      <c r="I185" s="119"/>
      <c r="J185" s="120"/>
      <c r="K185" s="119"/>
      <c r="L185" s="120"/>
      <c r="M185" s="119"/>
      <c r="N185" s="120"/>
      <c r="O185" s="119"/>
      <c r="P185" s="120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customFormat="false" ht="14.25" hidden="false" customHeight="true" outlineLevel="0" collapsed="false">
      <c r="A186" s="141"/>
      <c r="B186" s="142"/>
      <c r="C186" s="143"/>
      <c r="D186" s="144"/>
      <c r="E186" s="119"/>
      <c r="F186" s="120"/>
      <c r="G186" s="119"/>
      <c r="H186" s="120"/>
      <c r="I186" s="119"/>
      <c r="J186" s="120"/>
      <c r="K186" s="119"/>
      <c r="L186" s="120"/>
      <c r="M186" s="119"/>
      <c r="N186" s="120"/>
      <c r="O186" s="119"/>
      <c r="P186" s="120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customFormat="false" ht="14.25" hidden="false" customHeight="true" outlineLevel="0" collapsed="false">
      <c r="A187" s="141"/>
      <c r="B187" s="142"/>
      <c r="C187" s="143"/>
      <c r="D187" s="144"/>
      <c r="E187" s="119"/>
      <c r="F187" s="120"/>
      <c r="G187" s="119"/>
      <c r="H187" s="120"/>
      <c r="I187" s="119"/>
      <c r="J187" s="120"/>
      <c r="K187" s="119"/>
      <c r="L187" s="120"/>
      <c r="M187" s="119"/>
      <c r="N187" s="120"/>
      <c r="O187" s="119"/>
      <c r="P187" s="120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customFormat="false" ht="14.25" hidden="false" customHeight="true" outlineLevel="0" collapsed="false">
      <c r="A188" s="141"/>
      <c r="B188" s="142"/>
      <c r="C188" s="143"/>
      <c r="D188" s="144"/>
      <c r="E188" s="119"/>
      <c r="F188" s="120"/>
      <c r="G188" s="119"/>
      <c r="H188" s="120"/>
      <c r="I188" s="119"/>
      <c r="J188" s="120"/>
      <c r="K188" s="119"/>
      <c r="L188" s="120"/>
      <c r="M188" s="119"/>
      <c r="N188" s="120"/>
      <c r="O188" s="119"/>
      <c r="P188" s="120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customFormat="false" ht="14.25" hidden="false" customHeight="true" outlineLevel="0" collapsed="false">
      <c r="A189" s="141"/>
      <c r="B189" s="142"/>
      <c r="C189" s="143"/>
      <c r="D189" s="144"/>
      <c r="E189" s="119"/>
      <c r="F189" s="120"/>
      <c r="G189" s="119"/>
      <c r="H189" s="120"/>
      <c r="I189" s="119"/>
      <c r="J189" s="120"/>
      <c r="K189" s="119"/>
      <c r="L189" s="120"/>
      <c r="M189" s="119"/>
      <c r="N189" s="120"/>
      <c r="O189" s="119"/>
      <c r="P189" s="120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customFormat="false" ht="14.25" hidden="false" customHeight="true" outlineLevel="0" collapsed="false">
      <c r="A190" s="141"/>
      <c r="B190" s="142"/>
      <c r="C190" s="143"/>
      <c r="D190" s="144"/>
      <c r="E190" s="119"/>
      <c r="F190" s="120"/>
      <c r="G190" s="119"/>
      <c r="H190" s="120"/>
      <c r="I190" s="119"/>
      <c r="J190" s="120"/>
      <c r="K190" s="119"/>
      <c r="L190" s="120"/>
      <c r="M190" s="119"/>
      <c r="N190" s="120"/>
      <c r="O190" s="119"/>
      <c r="P190" s="120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customFormat="false" ht="14.25" hidden="false" customHeight="true" outlineLevel="0" collapsed="false">
      <c r="A191" s="141"/>
      <c r="B191" s="142"/>
      <c r="C191" s="143"/>
      <c r="D191" s="144"/>
      <c r="E191" s="119"/>
      <c r="F191" s="120"/>
      <c r="G191" s="119"/>
      <c r="H191" s="120"/>
      <c r="I191" s="119"/>
      <c r="J191" s="120"/>
      <c r="K191" s="119"/>
      <c r="L191" s="120"/>
      <c r="M191" s="119"/>
      <c r="N191" s="120"/>
      <c r="O191" s="119"/>
      <c r="P191" s="120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customFormat="false" ht="14.25" hidden="false" customHeight="true" outlineLevel="0" collapsed="false">
      <c r="A192" s="141"/>
      <c r="B192" s="142"/>
      <c r="C192" s="143"/>
      <c r="D192" s="144"/>
      <c r="E192" s="119"/>
      <c r="F192" s="120"/>
      <c r="G192" s="119"/>
      <c r="H192" s="120"/>
      <c r="I192" s="119"/>
      <c r="J192" s="120"/>
      <c r="K192" s="119"/>
      <c r="L192" s="120"/>
      <c r="M192" s="119"/>
      <c r="N192" s="120"/>
      <c r="O192" s="119"/>
      <c r="P192" s="120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customFormat="false" ht="14.25" hidden="false" customHeight="true" outlineLevel="0" collapsed="false">
      <c r="A193" s="141"/>
      <c r="B193" s="142"/>
      <c r="C193" s="143"/>
      <c r="D193" s="144"/>
      <c r="E193" s="119"/>
      <c r="F193" s="120"/>
      <c r="G193" s="119"/>
      <c r="H193" s="120"/>
      <c r="I193" s="119"/>
      <c r="J193" s="120"/>
      <c r="K193" s="119"/>
      <c r="L193" s="120"/>
      <c r="M193" s="119"/>
      <c r="N193" s="120"/>
      <c r="O193" s="119"/>
      <c r="P193" s="120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customFormat="false" ht="14.25" hidden="false" customHeight="true" outlineLevel="0" collapsed="false">
      <c r="A194" s="141"/>
      <c r="B194" s="142"/>
      <c r="C194" s="143"/>
      <c r="D194" s="144"/>
      <c r="E194" s="119"/>
      <c r="F194" s="120"/>
      <c r="G194" s="119"/>
      <c r="H194" s="120"/>
      <c r="I194" s="119"/>
      <c r="J194" s="120"/>
      <c r="K194" s="119"/>
      <c r="L194" s="120"/>
      <c r="M194" s="119"/>
      <c r="N194" s="120"/>
      <c r="O194" s="119"/>
      <c r="P194" s="120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customFormat="false" ht="14.25" hidden="false" customHeight="true" outlineLevel="0" collapsed="false">
      <c r="A195" s="141"/>
      <c r="B195" s="142"/>
      <c r="C195" s="143"/>
      <c r="D195" s="144"/>
      <c r="E195" s="119"/>
      <c r="F195" s="120"/>
      <c r="G195" s="119"/>
      <c r="H195" s="120"/>
      <c r="I195" s="119"/>
      <c r="J195" s="120"/>
      <c r="K195" s="119"/>
      <c r="L195" s="120"/>
      <c r="M195" s="119"/>
      <c r="N195" s="120"/>
      <c r="O195" s="119"/>
      <c r="P195" s="120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customFormat="false" ht="14.25" hidden="false" customHeight="true" outlineLevel="0" collapsed="false">
      <c r="A196" s="141"/>
      <c r="B196" s="142"/>
      <c r="C196" s="143"/>
      <c r="D196" s="144"/>
      <c r="E196" s="119"/>
      <c r="F196" s="120"/>
      <c r="G196" s="119"/>
      <c r="H196" s="120"/>
      <c r="I196" s="119"/>
      <c r="J196" s="120"/>
      <c r="K196" s="119"/>
      <c r="L196" s="120"/>
      <c r="M196" s="119"/>
      <c r="N196" s="120"/>
      <c r="O196" s="119"/>
      <c r="P196" s="120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customFormat="false" ht="14.25" hidden="false" customHeight="true" outlineLevel="0" collapsed="false">
      <c r="A197" s="141"/>
      <c r="B197" s="142"/>
      <c r="C197" s="143"/>
      <c r="D197" s="144"/>
      <c r="E197" s="119"/>
      <c r="F197" s="120"/>
      <c r="G197" s="119"/>
      <c r="H197" s="120"/>
      <c r="I197" s="119"/>
      <c r="J197" s="120"/>
      <c r="K197" s="119"/>
      <c r="L197" s="120"/>
      <c r="M197" s="119"/>
      <c r="N197" s="120"/>
      <c r="O197" s="119"/>
      <c r="P197" s="120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customFormat="false" ht="14.25" hidden="false" customHeight="true" outlineLevel="0" collapsed="false">
      <c r="A198" s="141"/>
      <c r="B198" s="142"/>
      <c r="C198" s="143"/>
      <c r="D198" s="144"/>
      <c r="E198" s="119"/>
      <c r="F198" s="120"/>
      <c r="G198" s="119"/>
      <c r="H198" s="120"/>
      <c r="I198" s="119"/>
      <c r="J198" s="120"/>
      <c r="K198" s="119"/>
      <c r="L198" s="120"/>
      <c r="M198" s="119"/>
      <c r="N198" s="120"/>
      <c r="O198" s="119"/>
      <c r="P198" s="120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customFormat="false" ht="14.25" hidden="false" customHeight="true" outlineLevel="0" collapsed="false">
      <c r="A199" s="141"/>
      <c r="B199" s="142"/>
      <c r="C199" s="143"/>
      <c r="D199" s="144"/>
      <c r="E199" s="119"/>
      <c r="F199" s="120"/>
      <c r="G199" s="119"/>
      <c r="H199" s="120"/>
      <c r="I199" s="119"/>
      <c r="J199" s="120"/>
      <c r="K199" s="119"/>
      <c r="L199" s="120"/>
      <c r="M199" s="119"/>
      <c r="N199" s="120"/>
      <c r="O199" s="119"/>
      <c r="P199" s="120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customFormat="false" ht="14.25" hidden="false" customHeight="true" outlineLevel="0" collapsed="false">
      <c r="A200" s="141"/>
      <c r="B200" s="142"/>
      <c r="C200" s="143"/>
      <c r="D200" s="144"/>
      <c r="E200" s="119"/>
      <c r="F200" s="120"/>
      <c r="G200" s="119"/>
      <c r="H200" s="120"/>
      <c r="I200" s="119"/>
      <c r="J200" s="120"/>
      <c r="K200" s="119"/>
      <c r="L200" s="120"/>
      <c r="M200" s="119"/>
      <c r="N200" s="120"/>
      <c r="O200" s="119"/>
      <c r="P200" s="120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customFormat="false" ht="14.25" hidden="false" customHeight="true" outlineLevel="0" collapsed="false">
      <c r="A201" s="141"/>
      <c r="B201" s="142"/>
      <c r="C201" s="143"/>
      <c r="D201" s="144"/>
      <c r="E201" s="119"/>
      <c r="F201" s="120"/>
      <c r="G201" s="119"/>
      <c r="H201" s="120"/>
      <c r="I201" s="119"/>
      <c r="J201" s="120"/>
      <c r="K201" s="119"/>
      <c r="L201" s="120"/>
      <c r="M201" s="119"/>
      <c r="N201" s="120"/>
      <c r="O201" s="119"/>
      <c r="P201" s="120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customFormat="false" ht="14.25" hidden="false" customHeight="true" outlineLevel="0" collapsed="false">
      <c r="A202" s="141"/>
      <c r="B202" s="142"/>
      <c r="C202" s="143"/>
      <c r="D202" s="144"/>
      <c r="E202" s="119"/>
      <c r="F202" s="120"/>
      <c r="G202" s="119"/>
      <c r="H202" s="120"/>
      <c r="I202" s="119"/>
      <c r="J202" s="120"/>
      <c r="K202" s="119"/>
      <c r="L202" s="120"/>
      <c r="M202" s="119"/>
      <c r="N202" s="120"/>
      <c r="O202" s="119"/>
      <c r="P202" s="120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customFormat="false" ht="14.25" hidden="false" customHeight="true" outlineLevel="0" collapsed="false">
      <c r="A203" s="141"/>
      <c r="B203" s="142"/>
      <c r="C203" s="143"/>
      <c r="D203" s="144"/>
      <c r="E203" s="119"/>
      <c r="F203" s="120"/>
      <c r="G203" s="119"/>
      <c r="H203" s="120"/>
      <c r="I203" s="119"/>
      <c r="J203" s="120"/>
      <c r="K203" s="119"/>
      <c r="L203" s="120"/>
      <c r="M203" s="119"/>
      <c r="N203" s="120"/>
      <c r="O203" s="119"/>
      <c r="P203" s="120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customFormat="false" ht="14.25" hidden="false" customHeight="true" outlineLevel="0" collapsed="false">
      <c r="A204" s="141"/>
      <c r="B204" s="142"/>
      <c r="C204" s="143"/>
      <c r="D204" s="144"/>
      <c r="E204" s="119"/>
      <c r="F204" s="120"/>
      <c r="G204" s="119"/>
      <c r="H204" s="120"/>
      <c r="I204" s="119"/>
      <c r="J204" s="120"/>
      <c r="K204" s="119"/>
      <c r="L204" s="120"/>
      <c r="M204" s="119"/>
      <c r="N204" s="120"/>
      <c r="O204" s="119"/>
      <c r="P204" s="120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customFormat="false" ht="14.25" hidden="false" customHeight="true" outlineLevel="0" collapsed="false">
      <c r="A205" s="141"/>
      <c r="B205" s="142"/>
      <c r="C205" s="143"/>
      <c r="D205" s="144"/>
      <c r="E205" s="119"/>
      <c r="F205" s="120"/>
      <c r="G205" s="119"/>
      <c r="H205" s="120"/>
      <c r="I205" s="119"/>
      <c r="J205" s="120"/>
      <c r="K205" s="119"/>
      <c r="L205" s="120"/>
      <c r="M205" s="119"/>
      <c r="N205" s="120"/>
      <c r="O205" s="119"/>
      <c r="P205" s="120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customFormat="false" ht="14.25" hidden="false" customHeight="true" outlineLevel="0" collapsed="false">
      <c r="A206" s="141"/>
      <c r="B206" s="142"/>
      <c r="C206" s="143"/>
      <c r="D206" s="144"/>
      <c r="E206" s="119"/>
      <c r="F206" s="120"/>
      <c r="G206" s="119"/>
      <c r="H206" s="120"/>
      <c r="I206" s="119"/>
      <c r="J206" s="120"/>
      <c r="K206" s="119"/>
      <c r="L206" s="120"/>
      <c r="M206" s="119"/>
      <c r="N206" s="120"/>
      <c r="O206" s="119"/>
      <c r="P206" s="120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customFormat="false" ht="14.25" hidden="false" customHeight="true" outlineLevel="0" collapsed="false">
      <c r="A207" s="141"/>
      <c r="B207" s="142"/>
      <c r="C207" s="143"/>
      <c r="D207" s="144"/>
      <c r="E207" s="119"/>
      <c r="F207" s="120"/>
      <c r="G207" s="119"/>
      <c r="H207" s="120"/>
      <c r="I207" s="119"/>
      <c r="J207" s="120"/>
      <c r="K207" s="119"/>
      <c r="L207" s="120"/>
      <c r="M207" s="119"/>
      <c r="N207" s="120"/>
      <c r="O207" s="119"/>
      <c r="P207" s="120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customFormat="false" ht="14.25" hidden="false" customHeight="true" outlineLevel="0" collapsed="false">
      <c r="A208" s="141"/>
      <c r="B208" s="142"/>
      <c r="C208" s="143"/>
      <c r="D208" s="144"/>
      <c r="E208" s="119"/>
      <c r="F208" s="120"/>
      <c r="G208" s="119"/>
      <c r="H208" s="120"/>
      <c r="I208" s="119"/>
      <c r="J208" s="120"/>
      <c r="K208" s="119"/>
      <c r="L208" s="120"/>
      <c r="M208" s="119"/>
      <c r="N208" s="120"/>
      <c r="O208" s="119"/>
      <c r="P208" s="120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customFormat="false" ht="14.25" hidden="false" customHeight="true" outlineLevel="0" collapsed="false">
      <c r="A209" s="141"/>
      <c r="B209" s="142"/>
      <c r="C209" s="143"/>
      <c r="D209" s="144"/>
      <c r="E209" s="119"/>
      <c r="F209" s="120"/>
      <c r="G209" s="119"/>
      <c r="H209" s="120"/>
      <c r="I209" s="119"/>
      <c r="J209" s="120"/>
      <c r="K209" s="119"/>
      <c r="L209" s="120"/>
      <c r="M209" s="119"/>
      <c r="N209" s="120"/>
      <c r="O209" s="119"/>
      <c r="P209" s="120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customFormat="false" ht="14.25" hidden="false" customHeight="true" outlineLevel="0" collapsed="false">
      <c r="A210" s="141"/>
      <c r="B210" s="142"/>
      <c r="C210" s="143"/>
      <c r="D210" s="144"/>
      <c r="E210" s="119"/>
      <c r="F210" s="120"/>
      <c r="G210" s="119"/>
      <c r="H210" s="120"/>
      <c r="I210" s="119"/>
      <c r="J210" s="120"/>
      <c r="K210" s="119"/>
      <c r="L210" s="120"/>
      <c r="M210" s="119"/>
      <c r="N210" s="120"/>
      <c r="O210" s="119"/>
      <c r="P210" s="120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customFormat="false" ht="14.25" hidden="false" customHeight="true" outlineLevel="0" collapsed="false">
      <c r="A211" s="141"/>
      <c r="B211" s="142"/>
      <c r="C211" s="143"/>
      <c r="D211" s="144"/>
      <c r="E211" s="119"/>
      <c r="F211" s="120"/>
      <c r="G211" s="119"/>
      <c r="H211" s="120"/>
      <c r="I211" s="119"/>
      <c r="J211" s="120"/>
      <c r="K211" s="119"/>
      <c r="L211" s="120"/>
      <c r="M211" s="119"/>
      <c r="N211" s="120"/>
      <c r="O211" s="119"/>
      <c r="P211" s="120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customFormat="false" ht="14.25" hidden="false" customHeight="true" outlineLevel="0" collapsed="false">
      <c r="A212" s="141"/>
      <c r="B212" s="142"/>
      <c r="C212" s="143"/>
      <c r="D212" s="144"/>
      <c r="E212" s="119"/>
      <c r="F212" s="120"/>
      <c r="G212" s="119"/>
      <c r="H212" s="120"/>
      <c r="I212" s="119"/>
      <c r="J212" s="120"/>
      <c r="K212" s="119"/>
      <c r="L212" s="120"/>
      <c r="M212" s="119"/>
      <c r="N212" s="120"/>
      <c r="O212" s="119"/>
      <c r="P212" s="120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customFormat="false" ht="14.25" hidden="false" customHeight="true" outlineLevel="0" collapsed="false">
      <c r="A213" s="141"/>
      <c r="B213" s="142"/>
      <c r="C213" s="143"/>
      <c r="D213" s="144"/>
      <c r="E213" s="119"/>
      <c r="F213" s="120"/>
      <c r="G213" s="119"/>
      <c r="H213" s="120"/>
      <c r="I213" s="119"/>
      <c r="J213" s="120"/>
      <c r="K213" s="119"/>
      <c r="L213" s="120"/>
      <c r="M213" s="119"/>
      <c r="N213" s="120"/>
      <c r="O213" s="119"/>
      <c r="P213" s="120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customFormat="false" ht="14.25" hidden="false" customHeight="true" outlineLevel="0" collapsed="false">
      <c r="A214" s="141"/>
      <c r="B214" s="142"/>
      <c r="C214" s="143"/>
      <c r="D214" s="144"/>
      <c r="E214" s="119"/>
      <c r="F214" s="120"/>
      <c r="G214" s="119"/>
      <c r="H214" s="120"/>
      <c r="I214" s="119"/>
      <c r="J214" s="120"/>
      <c r="K214" s="119"/>
      <c r="L214" s="120"/>
      <c r="M214" s="119"/>
      <c r="N214" s="120"/>
      <c r="O214" s="119"/>
      <c r="P214" s="120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customFormat="false" ht="14.25" hidden="false" customHeight="true" outlineLevel="0" collapsed="false">
      <c r="A215" s="141"/>
      <c r="B215" s="142"/>
      <c r="C215" s="143"/>
      <c r="D215" s="144"/>
      <c r="E215" s="119"/>
      <c r="F215" s="120"/>
      <c r="G215" s="119"/>
      <c r="H215" s="120"/>
      <c r="I215" s="119"/>
      <c r="J215" s="120"/>
      <c r="K215" s="119"/>
      <c r="L215" s="120"/>
      <c r="M215" s="119"/>
      <c r="N215" s="120"/>
      <c r="O215" s="119"/>
      <c r="P215" s="120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customFormat="false" ht="14.25" hidden="false" customHeight="true" outlineLevel="0" collapsed="false">
      <c r="A216" s="141"/>
      <c r="B216" s="142"/>
      <c r="C216" s="143"/>
      <c r="D216" s="144"/>
      <c r="E216" s="119"/>
      <c r="F216" s="120"/>
      <c r="G216" s="119"/>
      <c r="H216" s="120"/>
      <c r="I216" s="119"/>
      <c r="J216" s="120"/>
      <c r="K216" s="119"/>
      <c r="L216" s="120"/>
      <c r="M216" s="119"/>
      <c r="N216" s="120"/>
      <c r="O216" s="119"/>
      <c r="P216" s="120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customFormat="false" ht="14.25" hidden="false" customHeight="true" outlineLevel="0" collapsed="false">
      <c r="A217" s="141"/>
      <c r="B217" s="142"/>
      <c r="C217" s="143"/>
      <c r="D217" s="144"/>
      <c r="E217" s="119"/>
      <c r="F217" s="120"/>
      <c r="G217" s="119"/>
      <c r="H217" s="120"/>
      <c r="I217" s="119"/>
      <c r="J217" s="120"/>
      <c r="K217" s="119"/>
      <c r="L217" s="120"/>
      <c r="M217" s="119"/>
      <c r="N217" s="120"/>
      <c r="O217" s="119"/>
      <c r="P217" s="120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customFormat="false" ht="14.25" hidden="false" customHeight="true" outlineLevel="0" collapsed="false">
      <c r="A218" s="141"/>
      <c r="B218" s="142"/>
      <c r="C218" s="143"/>
      <c r="D218" s="144"/>
      <c r="E218" s="119"/>
      <c r="F218" s="120"/>
      <c r="G218" s="119"/>
      <c r="H218" s="120"/>
      <c r="I218" s="119"/>
      <c r="J218" s="120"/>
      <c r="K218" s="119"/>
      <c r="L218" s="120"/>
      <c r="M218" s="119"/>
      <c r="N218" s="120"/>
      <c r="O218" s="119"/>
      <c r="P218" s="120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customFormat="false" ht="14.25" hidden="false" customHeight="true" outlineLevel="0" collapsed="false">
      <c r="A219" s="141"/>
      <c r="B219" s="142"/>
      <c r="C219" s="143"/>
      <c r="D219" s="144"/>
      <c r="E219" s="119"/>
      <c r="F219" s="120"/>
      <c r="G219" s="119"/>
      <c r="H219" s="120"/>
      <c r="I219" s="119"/>
      <c r="J219" s="120"/>
      <c r="K219" s="119"/>
      <c r="L219" s="120"/>
      <c r="M219" s="119"/>
      <c r="N219" s="120"/>
      <c r="O219" s="119"/>
      <c r="P219" s="120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customFormat="false" ht="14.25" hidden="false" customHeight="true" outlineLevel="0" collapsed="false">
      <c r="A220" s="141"/>
      <c r="B220" s="142"/>
      <c r="C220" s="143"/>
      <c r="D220" s="144"/>
      <c r="E220" s="119"/>
      <c r="F220" s="120"/>
      <c r="G220" s="119"/>
      <c r="H220" s="120"/>
      <c r="I220" s="119"/>
      <c r="J220" s="120"/>
      <c r="K220" s="119"/>
      <c r="L220" s="120"/>
      <c r="M220" s="119"/>
      <c r="N220" s="120"/>
      <c r="O220" s="119"/>
      <c r="P220" s="120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customFormat="false" ht="14.25" hidden="false" customHeight="true" outlineLevel="0" collapsed="false">
      <c r="A221" s="141"/>
      <c r="B221" s="142"/>
      <c r="C221" s="143"/>
      <c r="D221" s="144"/>
      <c r="E221" s="119"/>
      <c r="F221" s="120"/>
      <c r="G221" s="119"/>
      <c r="H221" s="120"/>
      <c r="I221" s="119"/>
      <c r="J221" s="120"/>
      <c r="K221" s="119"/>
      <c r="L221" s="120"/>
      <c r="M221" s="119"/>
      <c r="N221" s="120"/>
      <c r="O221" s="119"/>
      <c r="P221" s="120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customFormat="false" ht="14.25" hidden="false" customHeight="true" outlineLevel="0" collapsed="false">
      <c r="A222" s="141"/>
      <c r="B222" s="142"/>
      <c r="C222" s="143"/>
      <c r="D222" s="144"/>
      <c r="E222" s="119"/>
      <c r="F222" s="120"/>
      <c r="G222" s="119"/>
      <c r="H222" s="120"/>
      <c r="I222" s="119"/>
      <c r="J222" s="120"/>
      <c r="K222" s="119"/>
      <c r="L222" s="120"/>
      <c r="M222" s="119"/>
      <c r="N222" s="120"/>
      <c r="O222" s="119"/>
      <c r="P222" s="120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customFormat="false" ht="14.25" hidden="false" customHeight="true" outlineLevel="0" collapsed="false">
      <c r="A223" s="141"/>
      <c r="B223" s="142"/>
      <c r="C223" s="143"/>
      <c r="D223" s="144"/>
      <c r="E223" s="119"/>
      <c r="F223" s="120"/>
      <c r="G223" s="119"/>
      <c r="H223" s="120"/>
      <c r="I223" s="119"/>
      <c r="J223" s="120"/>
      <c r="K223" s="119"/>
      <c r="L223" s="120"/>
      <c r="M223" s="119"/>
      <c r="N223" s="120"/>
      <c r="O223" s="119"/>
      <c r="P223" s="120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customFormat="false" ht="14.25" hidden="false" customHeight="true" outlineLevel="0" collapsed="false">
      <c r="A224" s="141"/>
      <c r="B224" s="142"/>
      <c r="C224" s="143"/>
      <c r="D224" s="144"/>
      <c r="E224" s="119"/>
      <c r="F224" s="120"/>
      <c r="G224" s="119"/>
      <c r="H224" s="120"/>
      <c r="I224" s="119"/>
      <c r="J224" s="120"/>
      <c r="K224" s="119"/>
      <c r="L224" s="120"/>
      <c r="M224" s="119"/>
      <c r="N224" s="120"/>
      <c r="O224" s="119"/>
      <c r="P224" s="120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customFormat="false" ht="14.25" hidden="false" customHeight="true" outlineLevel="0" collapsed="false">
      <c r="A225" s="141"/>
      <c r="B225" s="142"/>
      <c r="C225" s="143"/>
      <c r="D225" s="144"/>
      <c r="E225" s="119"/>
      <c r="F225" s="120"/>
      <c r="G225" s="119"/>
      <c r="H225" s="120"/>
      <c r="I225" s="119"/>
      <c r="J225" s="120"/>
      <c r="K225" s="119"/>
      <c r="L225" s="120"/>
      <c r="M225" s="119"/>
      <c r="N225" s="120"/>
      <c r="O225" s="119"/>
      <c r="P225" s="120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customFormat="false" ht="14.25" hidden="false" customHeight="true" outlineLevel="0" collapsed="false">
      <c r="A226" s="141"/>
      <c r="B226" s="142"/>
      <c r="C226" s="143"/>
      <c r="D226" s="144"/>
      <c r="E226" s="119"/>
      <c r="F226" s="120"/>
      <c r="G226" s="119"/>
      <c r="H226" s="120"/>
      <c r="I226" s="119"/>
      <c r="J226" s="120"/>
      <c r="K226" s="119"/>
      <c r="L226" s="120"/>
      <c r="M226" s="119"/>
      <c r="N226" s="120"/>
      <c r="O226" s="119"/>
      <c r="P226" s="120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customFormat="false" ht="14.25" hidden="false" customHeight="true" outlineLevel="0" collapsed="false">
      <c r="A227" s="141"/>
      <c r="B227" s="142"/>
      <c r="C227" s="143"/>
      <c r="D227" s="144"/>
      <c r="E227" s="119"/>
      <c r="F227" s="120"/>
      <c r="G227" s="119"/>
      <c r="H227" s="120"/>
      <c r="I227" s="119"/>
      <c r="J227" s="120"/>
      <c r="K227" s="119"/>
      <c r="L227" s="120"/>
      <c r="M227" s="119"/>
      <c r="N227" s="120"/>
      <c r="O227" s="119"/>
      <c r="P227" s="120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customFormat="false" ht="14.25" hidden="false" customHeight="true" outlineLevel="0" collapsed="false">
      <c r="A228" s="141"/>
      <c r="B228" s="142"/>
      <c r="C228" s="143"/>
      <c r="D228" s="144"/>
      <c r="E228" s="119"/>
      <c r="F228" s="120"/>
      <c r="G228" s="119"/>
      <c r="H228" s="120"/>
      <c r="I228" s="119"/>
      <c r="J228" s="120"/>
      <c r="K228" s="119"/>
      <c r="L228" s="120"/>
      <c r="M228" s="119"/>
      <c r="N228" s="120"/>
      <c r="O228" s="119"/>
      <c r="P228" s="120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customFormat="false" ht="14.25" hidden="false" customHeight="true" outlineLevel="0" collapsed="false">
      <c r="A229" s="141"/>
      <c r="B229" s="142"/>
      <c r="C229" s="143"/>
      <c r="D229" s="144"/>
      <c r="E229" s="119"/>
      <c r="F229" s="120"/>
      <c r="G229" s="119"/>
      <c r="H229" s="120"/>
      <c r="I229" s="119"/>
      <c r="J229" s="120"/>
      <c r="K229" s="119"/>
      <c r="L229" s="120"/>
      <c r="M229" s="119"/>
      <c r="N229" s="120"/>
      <c r="O229" s="119"/>
      <c r="P229" s="120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customFormat="false" ht="14.25" hidden="false" customHeight="true" outlineLevel="0" collapsed="false">
      <c r="A230" s="141"/>
      <c r="B230" s="142"/>
      <c r="C230" s="143"/>
      <c r="D230" s="144"/>
      <c r="E230" s="119"/>
      <c r="F230" s="120"/>
      <c r="G230" s="119"/>
      <c r="H230" s="120"/>
      <c r="I230" s="119"/>
      <c r="J230" s="120"/>
      <c r="K230" s="119"/>
      <c r="L230" s="120"/>
      <c r="M230" s="119"/>
      <c r="N230" s="120"/>
      <c r="O230" s="119"/>
      <c r="P230" s="120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customFormat="false" ht="14.25" hidden="false" customHeight="true" outlineLevel="0" collapsed="false">
      <c r="A231" s="141"/>
      <c r="B231" s="142"/>
      <c r="C231" s="143"/>
      <c r="D231" s="144"/>
      <c r="E231" s="119"/>
      <c r="F231" s="120"/>
      <c r="G231" s="119"/>
      <c r="H231" s="120"/>
      <c r="I231" s="119"/>
      <c r="J231" s="120"/>
      <c r="K231" s="119"/>
      <c r="L231" s="120"/>
      <c r="M231" s="119"/>
      <c r="N231" s="120"/>
      <c r="O231" s="119"/>
      <c r="P231" s="120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customFormat="false" ht="14.25" hidden="false" customHeight="true" outlineLevel="0" collapsed="false">
      <c r="A232" s="141"/>
      <c r="B232" s="142"/>
      <c r="C232" s="143"/>
      <c r="D232" s="144"/>
      <c r="E232" s="119"/>
      <c r="F232" s="120"/>
      <c r="G232" s="119"/>
      <c r="H232" s="120"/>
      <c r="I232" s="119"/>
      <c r="J232" s="120"/>
      <c r="K232" s="119"/>
      <c r="L232" s="120"/>
      <c r="M232" s="119"/>
      <c r="N232" s="120"/>
      <c r="O232" s="119"/>
      <c r="P232" s="120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customFormat="false" ht="14.25" hidden="false" customHeight="true" outlineLevel="0" collapsed="false">
      <c r="A233" s="141"/>
      <c r="B233" s="142"/>
      <c r="C233" s="143"/>
      <c r="D233" s="144"/>
      <c r="E233" s="119"/>
      <c r="F233" s="120"/>
      <c r="G233" s="119"/>
      <c r="H233" s="120"/>
      <c r="I233" s="119"/>
      <c r="J233" s="120"/>
      <c r="K233" s="119"/>
      <c r="L233" s="120"/>
      <c r="M233" s="119"/>
      <c r="N233" s="120"/>
      <c r="O233" s="119"/>
      <c r="P233" s="120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customFormat="false" ht="14.25" hidden="false" customHeight="true" outlineLevel="0" collapsed="false">
      <c r="A234" s="141"/>
      <c r="B234" s="142"/>
      <c r="C234" s="143"/>
      <c r="D234" s="144"/>
      <c r="E234" s="119"/>
      <c r="F234" s="120"/>
      <c r="G234" s="119"/>
      <c r="H234" s="120"/>
      <c r="I234" s="119"/>
      <c r="J234" s="120"/>
      <c r="K234" s="119"/>
      <c r="L234" s="120"/>
      <c r="M234" s="119"/>
      <c r="N234" s="120"/>
      <c r="O234" s="119"/>
      <c r="P234" s="120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customFormat="false" ht="14.25" hidden="false" customHeight="true" outlineLevel="0" collapsed="false">
      <c r="A235" s="141"/>
      <c r="B235" s="142"/>
      <c r="C235" s="143"/>
      <c r="D235" s="144"/>
      <c r="E235" s="119"/>
      <c r="F235" s="120"/>
      <c r="G235" s="119"/>
      <c r="H235" s="120"/>
      <c r="I235" s="119"/>
      <c r="J235" s="120"/>
      <c r="K235" s="119"/>
      <c r="L235" s="120"/>
      <c r="M235" s="119"/>
      <c r="N235" s="120"/>
      <c r="O235" s="119"/>
      <c r="P235" s="120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customFormat="false" ht="14.25" hidden="false" customHeight="true" outlineLevel="0" collapsed="false">
      <c r="A236" s="141"/>
      <c r="B236" s="142"/>
      <c r="C236" s="143"/>
      <c r="D236" s="144"/>
      <c r="E236" s="119"/>
      <c r="F236" s="120"/>
      <c r="G236" s="119"/>
      <c r="H236" s="120"/>
      <c r="I236" s="119"/>
      <c r="J236" s="120"/>
      <c r="K236" s="119"/>
      <c r="L236" s="120"/>
      <c r="M236" s="119"/>
      <c r="N236" s="120"/>
      <c r="O236" s="119"/>
      <c r="P236" s="120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customFormat="false" ht="14.25" hidden="false" customHeight="true" outlineLevel="0" collapsed="false">
      <c r="A237" s="141"/>
      <c r="B237" s="142"/>
      <c r="C237" s="143"/>
      <c r="D237" s="144"/>
      <c r="E237" s="119"/>
      <c r="F237" s="120"/>
      <c r="G237" s="119"/>
      <c r="H237" s="120"/>
      <c r="I237" s="119"/>
      <c r="J237" s="120"/>
      <c r="K237" s="119"/>
      <c r="L237" s="120"/>
      <c r="M237" s="119"/>
      <c r="N237" s="120"/>
      <c r="O237" s="119"/>
      <c r="P237" s="120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customFormat="false" ht="14.25" hidden="false" customHeight="true" outlineLevel="0" collapsed="false">
      <c r="A238" s="141"/>
      <c r="B238" s="142"/>
      <c r="C238" s="143"/>
      <c r="D238" s="144"/>
      <c r="E238" s="119"/>
      <c r="F238" s="120"/>
      <c r="G238" s="119"/>
      <c r="H238" s="120"/>
      <c r="I238" s="119"/>
      <c r="J238" s="120"/>
      <c r="K238" s="119"/>
      <c r="L238" s="120"/>
      <c r="M238" s="119"/>
      <c r="N238" s="120"/>
      <c r="O238" s="119"/>
      <c r="P238" s="120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customFormat="false" ht="14.25" hidden="false" customHeight="true" outlineLevel="0" collapsed="false">
      <c r="A239" s="141"/>
      <c r="B239" s="142"/>
      <c r="C239" s="143"/>
      <c r="D239" s="144"/>
      <c r="E239" s="119"/>
      <c r="F239" s="120"/>
      <c r="G239" s="119"/>
      <c r="H239" s="120"/>
      <c r="I239" s="119"/>
      <c r="J239" s="120"/>
      <c r="K239" s="119"/>
      <c r="L239" s="120"/>
      <c r="M239" s="119"/>
      <c r="N239" s="120"/>
      <c r="O239" s="119"/>
      <c r="P239" s="120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customFormat="false" ht="14.25" hidden="false" customHeight="true" outlineLevel="0" collapsed="false">
      <c r="A240" s="141"/>
      <c r="B240" s="142"/>
      <c r="C240" s="143"/>
      <c r="D240" s="144"/>
      <c r="E240" s="119"/>
      <c r="F240" s="120"/>
      <c r="G240" s="119"/>
      <c r="H240" s="120"/>
      <c r="I240" s="119"/>
      <c r="J240" s="120"/>
      <c r="K240" s="119"/>
      <c r="L240" s="120"/>
      <c r="M240" s="119"/>
      <c r="N240" s="120"/>
      <c r="O240" s="119"/>
      <c r="P240" s="120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customFormat="false" ht="14.25" hidden="false" customHeight="true" outlineLevel="0" collapsed="false">
      <c r="A241" s="141"/>
      <c r="B241" s="142"/>
      <c r="C241" s="143"/>
      <c r="D241" s="144"/>
      <c r="E241" s="119"/>
      <c r="F241" s="120"/>
      <c r="G241" s="119"/>
      <c r="H241" s="120"/>
      <c r="I241" s="119"/>
      <c r="J241" s="120"/>
      <c r="K241" s="119"/>
      <c r="L241" s="120"/>
      <c r="M241" s="119"/>
      <c r="N241" s="120"/>
      <c r="O241" s="119"/>
      <c r="P241" s="120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customFormat="false" ht="14.25" hidden="false" customHeight="true" outlineLevel="0" collapsed="false">
      <c r="A242" s="141"/>
      <c r="B242" s="142"/>
      <c r="C242" s="143"/>
      <c r="D242" s="144"/>
      <c r="E242" s="119"/>
      <c r="F242" s="120"/>
      <c r="G242" s="119"/>
      <c r="H242" s="120"/>
      <c r="I242" s="119"/>
      <c r="J242" s="120"/>
      <c r="K242" s="119"/>
      <c r="L242" s="120"/>
      <c r="M242" s="119"/>
      <c r="N242" s="120"/>
      <c r="O242" s="119"/>
      <c r="P242" s="120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customFormat="false" ht="14.25" hidden="false" customHeight="true" outlineLevel="0" collapsed="false">
      <c r="A243" s="141"/>
      <c r="B243" s="142"/>
      <c r="C243" s="143"/>
      <c r="D243" s="144"/>
      <c r="E243" s="119"/>
      <c r="F243" s="120"/>
      <c r="G243" s="119"/>
      <c r="H243" s="120"/>
      <c r="I243" s="119"/>
      <c r="J243" s="120"/>
      <c r="K243" s="119"/>
      <c r="L243" s="120"/>
      <c r="M243" s="119"/>
      <c r="N243" s="120"/>
      <c r="O243" s="119"/>
      <c r="P243" s="120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customFormat="false" ht="14.25" hidden="false" customHeight="true" outlineLevel="0" collapsed="false">
      <c r="A244" s="141"/>
      <c r="B244" s="142"/>
      <c r="C244" s="143"/>
      <c r="D244" s="144"/>
      <c r="E244" s="119"/>
      <c r="F244" s="120"/>
      <c r="G244" s="119"/>
      <c r="H244" s="120"/>
      <c r="I244" s="119"/>
      <c r="J244" s="120"/>
      <c r="K244" s="119"/>
      <c r="L244" s="120"/>
      <c r="M244" s="119"/>
      <c r="N244" s="120"/>
      <c r="O244" s="119"/>
      <c r="P244" s="120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customFormat="false" ht="14.25" hidden="false" customHeight="true" outlineLevel="0" collapsed="false">
      <c r="A245" s="141"/>
      <c r="B245" s="142"/>
      <c r="C245" s="143"/>
      <c r="D245" s="144"/>
      <c r="E245" s="119"/>
      <c r="F245" s="120"/>
      <c r="G245" s="119"/>
      <c r="H245" s="120"/>
      <c r="I245" s="119"/>
      <c r="J245" s="120"/>
      <c r="K245" s="119"/>
      <c r="L245" s="120"/>
      <c r="M245" s="119"/>
      <c r="N245" s="120"/>
      <c r="O245" s="119"/>
      <c r="P245" s="120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customFormat="false" ht="14.25" hidden="false" customHeight="true" outlineLevel="0" collapsed="false">
      <c r="A246" s="141"/>
      <c r="B246" s="142"/>
      <c r="C246" s="143"/>
      <c r="D246" s="144"/>
      <c r="E246" s="119"/>
      <c r="F246" s="120"/>
      <c r="G246" s="119"/>
      <c r="H246" s="120"/>
      <c r="I246" s="119"/>
      <c r="J246" s="120"/>
      <c r="K246" s="119"/>
      <c r="L246" s="120"/>
      <c r="M246" s="119"/>
      <c r="N246" s="120"/>
      <c r="O246" s="119"/>
      <c r="P246" s="120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customFormat="false" ht="14.25" hidden="false" customHeight="true" outlineLevel="0" collapsed="false">
      <c r="A247" s="141"/>
      <c r="B247" s="142"/>
      <c r="C247" s="143"/>
      <c r="D247" s="144"/>
      <c r="E247" s="119"/>
      <c r="F247" s="120"/>
      <c r="G247" s="119"/>
      <c r="H247" s="120"/>
      <c r="I247" s="119"/>
      <c r="J247" s="120"/>
      <c r="K247" s="119"/>
      <c r="L247" s="120"/>
      <c r="M247" s="119"/>
      <c r="N247" s="120"/>
      <c r="O247" s="119"/>
      <c r="P247" s="120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customFormat="false" ht="14.25" hidden="false" customHeight="true" outlineLevel="0" collapsed="false">
      <c r="A248" s="141"/>
      <c r="B248" s="142"/>
      <c r="C248" s="143"/>
      <c r="D248" s="144"/>
      <c r="E248" s="119"/>
      <c r="F248" s="120"/>
      <c r="G248" s="119"/>
      <c r="H248" s="120"/>
      <c r="I248" s="119"/>
      <c r="J248" s="120"/>
      <c r="K248" s="119"/>
      <c r="L248" s="120"/>
      <c r="M248" s="119"/>
      <c r="N248" s="120"/>
      <c r="O248" s="119"/>
      <c r="P248" s="120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customFormat="false" ht="14.25" hidden="false" customHeight="true" outlineLevel="0" collapsed="false">
      <c r="A249" s="141"/>
      <c r="B249" s="142"/>
      <c r="C249" s="143"/>
      <c r="D249" s="144"/>
      <c r="E249" s="119"/>
      <c r="F249" s="120"/>
      <c r="G249" s="119"/>
      <c r="H249" s="120"/>
      <c r="I249" s="119"/>
      <c r="J249" s="120"/>
      <c r="K249" s="119"/>
      <c r="L249" s="120"/>
      <c r="M249" s="119"/>
      <c r="N249" s="120"/>
      <c r="O249" s="119"/>
      <c r="P249" s="120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customFormat="false" ht="14.25" hidden="false" customHeight="true" outlineLevel="0" collapsed="false">
      <c r="A250" s="141"/>
      <c r="B250" s="142"/>
      <c r="C250" s="143"/>
      <c r="D250" s="144"/>
      <c r="E250" s="119"/>
      <c r="F250" s="120"/>
      <c r="G250" s="119"/>
      <c r="H250" s="120"/>
      <c r="I250" s="119"/>
      <c r="J250" s="120"/>
      <c r="K250" s="119"/>
      <c r="L250" s="120"/>
      <c r="M250" s="119"/>
      <c r="N250" s="120"/>
      <c r="O250" s="119"/>
      <c r="P250" s="120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customFormat="false" ht="14.25" hidden="false" customHeight="true" outlineLevel="0" collapsed="false">
      <c r="A251" s="141"/>
      <c r="B251" s="142"/>
      <c r="C251" s="143"/>
      <c r="D251" s="144"/>
      <c r="E251" s="119"/>
      <c r="F251" s="120"/>
      <c r="G251" s="119"/>
      <c r="H251" s="120"/>
      <c r="I251" s="119"/>
      <c r="J251" s="120"/>
      <c r="K251" s="119"/>
      <c r="L251" s="120"/>
      <c r="M251" s="119"/>
      <c r="N251" s="120"/>
      <c r="O251" s="119"/>
      <c r="P251" s="120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customFormat="false" ht="14.25" hidden="false" customHeight="true" outlineLevel="0" collapsed="false">
      <c r="A252" s="141"/>
      <c r="B252" s="142"/>
      <c r="C252" s="143"/>
      <c r="D252" s="144"/>
      <c r="E252" s="119"/>
      <c r="F252" s="120"/>
      <c r="G252" s="119"/>
      <c r="H252" s="120"/>
      <c r="I252" s="119"/>
      <c r="J252" s="120"/>
      <c r="K252" s="119"/>
      <c r="L252" s="120"/>
      <c r="M252" s="119"/>
      <c r="N252" s="120"/>
      <c r="O252" s="119"/>
      <c r="P252" s="120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customFormat="false" ht="14.25" hidden="false" customHeight="true" outlineLevel="0" collapsed="false">
      <c r="A253" s="141"/>
      <c r="B253" s="142"/>
      <c r="C253" s="143"/>
      <c r="D253" s="144"/>
      <c r="E253" s="119"/>
      <c r="F253" s="120"/>
      <c r="G253" s="119"/>
      <c r="H253" s="120"/>
      <c r="I253" s="119"/>
      <c r="J253" s="120"/>
      <c r="K253" s="119"/>
      <c r="L253" s="120"/>
      <c r="M253" s="119"/>
      <c r="N253" s="120"/>
      <c r="O253" s="119"/>
      <c r="P253" s="120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customFormat="false" ht="14.25" hidden="false" customHeight="true" outlineLevel="0" collapsed="false">
      <c r="A254" s="141"/>
      <c r="B254" s="142"/>
      <c r="C254" s="143"/>
      <c r="D254" s="144"/>
      <c r="E254" s="119"/>
      <c r="F254" s="120"/>
      <c r="G254" s="119"/>
      <c r="H254" s="120"/>
      <c r="I254" s="119"/>
      <c r="J254" s="120"/>
      <c r="K254" s="119"/>
      <c r="L254" s="120"/>
      <c r="M254" s="119"/>
      <c r="N254" s="120"/>
      <c r="O254" s="119"/>
      <c r="P254" s="120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customFormat="false" ht="14.25" hidden="false" customHeight="true" outlineLevel="0" collapsed="false">
      <c r="A255" s="141"/>
      <c r="B255" s="142"/>
      <c r="C255" s="143"/>
      <c r="D255" s="144"/>
      <c r="E255" s="119"/>
      <c r="F255" s="120"/>
      <c r="G255" s="119"/>
      <c r="H255" s="120"/>
      <c r="I255" s="119"/>
      <c r="J255" s="120"/>
      <c r="K255" s="119"/>
      <c r="L255" s="120"/>
      <c r="M255" s="119"/>
      <c r="N255" s="120"/>
      <c r="O255" s="119"/>
      <c r="P255" s="120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customFormat="false" ht="14.25" hidden="false" customHeight="true" outlineLevel="0" collapsed="false">
      <c r="A256" s="141"/>
      <c r="B256" s="142"/>
      <c r="C256" s="143"/>
      <c r="D256" s="144"/>
      <c r="E256" s="119"/>
      <c r="F256" s="120"/>
      <c r="G256" s="119"/>
      <c r="H256" s="120"/>
      <c r="I256" s="119"/>
      <c r="J256" s="120"/>
      <c r="K256" s="119"/>
      <c r="L256" s="120"/>
      <c r="M256" s="119"/>
      <c r="N256" s="120"/>
      <c r="O256" s="119"/>
      <c r="P256" s="120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customFormat="false" ht="14.25" hidden="false" customHeight="true" outlineLevel="0" collapsed="false">
      <c r="A257" s="141"/>
      <c r="B257" s="142"/>
      <c r="C257" s="143"/>
      <c r="D257" s="144"/>
      <c r="E257" s="119"/>
      <c r="F257" s="120"/>
      <c r="G257" s="119"/>
      <c r="H257" s="120"/>
      <c r="I257" s="119"/>
      <c r="J257" s="120"/>
      <c r="K257" s="119"/>
      <c r="L257" s="120"/>
      <c r="M257" s="119"/>
      <c r="N257" s="120"/>
      <c r="O257" s="119"/>
      <c r="P257" s="120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customFormat="false" ht="14.25" hidden="false" customHeight="true" outlineLevel="0" collapsed="false">
      <c r="A258" s="141"/>
      <c r="B258" s="142"/>
      <c r="C258" s="143"/>
      <c r="D258" s="144"/>
      <c r="E258" s="119"/>
      <c r="F258" s="120"/>
      <c r="G258" s="119"/>
      <c r="H258" s="120"/>
      <c r="I258" s="119"/>
      <c r="J258" s="120"/>
      <c r="K258" s="119"/>
      <c r="L258" s="120"/>
      <c r="M258" s="119"/>
      <c r="N258" s="120"/>
      <c r="O258" s="119"/>
      <c r="P258" s="120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customFormat="false" ht="14.25" hidden="false" customHeight="true" outlineLevel="0" collapsed="false">
      <c r="A259" s="141"/>
      <c r="B259" s="142"/>
      <c r="C259" s="143"/>
      <c r="D259" s="144"/>
      <c r="E259" s="119"/>
      <c r="F259" s="120"/>
      <c r="G259" s="119"/>
      <c r="H259" s="120"/>
      <c r="I259" s="119"/>
      <c r="J259" s="120"/>
      <c r="K259" s="119"/>
      <c r="L259" s="120"/>
      <c r="M259" s="119"/>
      <c r="N259" s="120"/>
      <c r="O259" s="119"/>
      <c r="P259" s="120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customFormat="false" ht="14.25" hidden="false" customHeight="true" outlineLevel="0" collapsed="false">
      <c r="A260" s="141"/>
      <c r="B260" s="142"/>
      <c r="C260" s="143"/>
      <c r="D260" s="144"/>
      <c r="E260" s="119"/>
      <c r="F260" s="120"/>
      <c r="G260" s="119"/>
      <c r="H260" s="120"/>
      <c r="I260" s="119"/>
      <c r="J260" s="120"/>
      <c r="K260" s="119"/>
      <c r="L260" s="120"/>
      <c r="M260" s="119"/>
      <c r="N260" s="120"/>
      <c r="O260" s="119"/>
      <c r="P260" s="120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customFormat="false" ht="14.25" hidden="false" customHeight="true" outlineLevel="0" collapsed="false">
      <c r="A261" s="141"/>
      <c r="B261" s="142"/>
      <c r="C261" s="143"/>
      <c r="D261" s="144"/>
      <c r="E261" s="119"/>
      <c r="F261" s="120"/>
      <c r="G261" s="119"/>
      <c r="H261" s="120"/>
      <c r="I261" s="119"/>
      <c r="J261" s="120"/>
      <c r="K261" s="119"/>
      <c r="L261" s="120"/>
      <c r="M261" s="119"/>
      <c r="N261" s="120"/>
      <c r="O261" s="119"/>
      <c r="P261" s="120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customFormat="false" ht="14.25" hidden="false" customHeight="true" outlineLevel="0" collapsed="false">
      <c r="A262" s="141"/>
      <c r="B262" s="142"/>
      <c r="C262" s="143"/>
      <c r="D262" s="144"/>
      <c r="E262" s="119"/>
      <c r="F262" s="120"/>
      <c r="G262" s="119"/>
      <c r="H262" s="120"/>
      <c r="I262" s="119"/>
      <c r="J262" s="120"/>
      <c r="K262" s="119"/>
      <c r="L262" s="120"/>
      <c r="M262" s="119"/>
      <c r="N262" s="120"/>
      <c r="O262" s="119"/>
      <c r="P262" s="120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customFormat="false" ht="14.25" hidden="false" customHeight="true" outlineLevel="0" collapsed="false">
      <c r="A263" s="141"/>
      <c r="B263" s="142"/>
      <c r="C263" s="143"/>
      <c r="D263" s="144"/>
      <c r="E263" s="119"/>
      <c r="F263" s="120"/>
      <c r="G263" s="119"/>
      <c r="H263" s="120"/>
      <c r="I263" s="119"/>
      <c r="J263" s="120"/>
      <c r="K263" s="119"/>
      <c r="L263" s="120"/>
      <c r="M263" s="119"/>
      <c r="N263" s="120"/>
      <c r="O263" s="119"/>
      <c r="P263" s="120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customFormat="false" ht="14.25" hidden="false" customHeight="true" outlineLevel="0" collapsed="false">
      <c r="A264" s="141"/>
      <c r="B264" s="142"/>
      <c r="C264" s="143"/>
      <c r="D264" s="144"/>
      <c r="E264" s="119"/>
      <c r="F264" s="120"/>
      <c r="G264" s="119"/>
      <c r="H264" s="120"/>
      <c r="I264" s="119"/>
      <c r="J264" s="120"/>
      <c r="K264" s="119"/>
      <c r="L264" s="120"/>
      <c r="M264" s="119"/>
      <c r="N264" s="120"/>
      <c r="O264" s="119"/>
      <c r="P264" s="120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customFormat="false" ht="14.25" hidden="false" customHeight="true" outlineLevel="0" collapsed="false">
      <c r="A265" s="141"/>
      <c r="B265" s="142"/>
      <c r="C265" s="143"/>
      <c r="D265" s="144"/>
      <c r="E265" s="119"/>
      <c r="F265" s="120"/>
      <c r="G265" s="119"/>
      <c r="H265" s="120"/>
      <c r="I265" s="119"/>
      <c r="J265" s="120"/>
      <c r="K265" s="119"/>
      <c r="L265" s="120"/>
      <c r="M265" s="119"/>
      <c r="N265" s="120"/>
      <c r="O265" s="119"/>
      <c r="P265" s="120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customFormat="false" ht="14.25" hidden="false" customHeight="true" outlineLevel="0" collapsed="false">
      <c r="A266" s="141"/>
      <c r="B266" s="142"/>
      <c r="C266" s="143"/>
      <c r="D266" s="144"/>
      <c r="E266" s="119"/>
      <c r="F266" s="120"/>
      <c r="G266" s="119"/>
      <c r="H266" s="120"/>
      <c r="I266" s="119"/>
      <c r="J266" s="120"/>
      <c r="K266" s="119"/>
      <c r="L266" s="120"/>
      <c r="M266" s="119"/>
      <c r="N266" s="120"/>
      <c r="O266" s="119"/>
      <c r="P266" s="120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customFormat="false" ht="14.25" hidden="false" customHeight="true" outlineLevel="0" collapsed="false">
      <c r="A267" s="141"/>
      <c r="B267" s="142"/>
      <c r="C267" s="143"/>
      <c r="D267" s="144"/>
      <c r="E267" s="119"/>
      <c r="F267" s="120"/>
      <c r="G267" s="119"/>
      <c r="H267" s="120"/>
      <c r="I267" s="119"/>
      <c r="J267" s="120"/>
      <c r="K267" s="119"/>
      <c r="L267" s="120"/>
      <c r="M267" s="119"/>
      <c r="N267" s="120"/>
      <c r="O267" s="119"/>
      <c r="P267" s="120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customFormat="false" ht="14.25" hidden="false" customHeight="true" outlineLevel="0" collapsed="false">
      <c r="A268" s="141"/>
      <c r="B268" s="142"/>
      <c r="C268" s="143"/>
      <c r="D268" s="144"/>
      <c r="E268" s="119"/>
      <c r="F268" s="120"/>
      <c r="G268" s="119"/>
      <c r="H268" s="120"/>
      <c r="I268" s="119"/>
      <c r="J268" s="120"/>
      <c r="K268" s="119"/>
      <c r="L268" s="120"/>
      <c r="M268" s="119"/>
      <c r="N268" s="120"/>
      <c r="O268" s="119"/>
      <c r="P268" s="120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customFormat="false" ht="14.25" hidden="false" customHeight="true" outlineLevel="0" collapsed="false">
      <c r="A269" s="141"/>
      <c r="B269" s="142"/>
      <c r="C269" s="143"/>
      <c r="D269" s="144"/>
      <c r="E269" s="119"/>
      <c r="F269" s="120"/>
      <c r="G269" s="119"/>
      <c r="H269" s="120"/>
      <c r="I269" s="119"/>
      <c r="J269" s="120"/>
      <c r="K269" s="119"/>
      <c r="L269" s="120"/>
      <c r="M269" s="119"/>
      <c r="N269" s="120"/>
      <c r="O269" s="119"/>
      <c r="P269" s="120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customFormat="false" ht="14.25" hidden="false" customHeight="true" outlineLevel="0" collapsed="false">
      <c r="A270" s="141"/>
      <c r="B270" s="142"/>
      <c r="C270" s="143"/>
      <c r="D270" s="144"/>
      <c r="E270" s="119"/>
      <c r="F270" s="120"/>
      <c r="G270" s="119"/>
      <c r="H270" s="120"/>
      <c r="I270" s="119"/>
      <c r="J270" s="120"/>
      <c r="K270" s="119"/>
      <c r="L270" s="120"/>
      <c r="M270" s="119"/>
      <c r="N270" s="120"/>
      <c r="O270" s="119"/>
      <c r="P270" s="120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customFormat="false" ht="14.25" hidden="false" customHeight="true" outlineLevel="0" collapsed="false">
      <c r="A271" s="141"/>
      <c r="B271" s="142"/>
      <c r="C271" s="143"/>
      <c r="D271" s="144"/>
      <c r="E271" s="119"/>
      <c r="F271" s="120"/>
      <c r="G271" s="119"/>
      <c r="H271" s="120"/>
      <c r="I271" s="119"/>
      <c r="J271" s="120"/>
      <c r="K271" s="119"/>
      <c r="L271" s="120"/>
      <c r="M271" s="119"/>
      <c r="N271" s="120"/>
      <c r="O271" s="119"/>
      <c r="P271" s="120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customFormat="false" ht="14.25" hidden="false" customHeight="true" outlineLevel="0" collapsed="false">
      <c r="A272" s="141"/>
      <c r="B272" s="142"/>
      <c r="C272" s="143"/>
      <c r="D272" s="144"/>
      <c r="E272" s="119"/>
      <c r="F272" s="120"/>
      <c r="G272" s="119"/>
      <c r="H272" s="120"/>
      <c r="I272" s="119"/>
      <c r="J272" s="120"/>
      <c r="K272" s="119"/>
      <c r="L272" s="120"/>
      <c r="M272" s="119"/>
      <c r="N272" s="120"/>
      <c r="O272" s="119"/>
      <c r="P272" s="120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customFormat="false" ht="14.25" hidden="false" customHeight="true" outlineLevel="0" collapsed="false">
      <c r="A273" s="141"/>
      <c r="B273" s="142"/>
      <c r="C273" s="143"/>
      <c r="D273" s="144"/>
      <c r="E273" s="119"/>
      <c r="F273" s="120"/>
      <c r="G273" s="119"/>
      <c r="H273" s="120"/>
      <c r="I273" s="119"/>
      <c r="J273" s="120"/>
      <c r="K273" s="119"/>
      <c r="L273" s="120"/>
      <c r="M273" s="119"/>
      <c r="N273" s="120"/>
      <c r="O273" s="119"/>
      <c r="P273" s="120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customFormat="false" ht="14.25" hidden="false" customHeight="true" outlineLevel="0" collapsed="false">
      <c r="A274" s="141"/>
      <c r="B274" s="142"/>
      <c r="C274" s="143"/>
      <c r="D274" s="144"/>
      <c r="E274" s="119"/>
      <c r="F274" s="120"/>
      <c r="G274" s="119"/>
      <c r="H274" s="120"/>
      <c r="I274" s="119"/>
      <c r="J274" s="120"/>
      <c r="K274" s="119"/>
      <c r="L274" s="120"/>
      <c r="M274" s="119"/>
      <c r="N274" s="120"/>
      <c r="O274" s="119"/>
      <c r="P274" s="120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customFormat="false" ht="14.25" hidden="false" customHeight="true" outlineLevel="0" collapsed="false">
      <c r="A275" s="141"/>
      <c r="B275" s="142"/>
      <c r="C275" s="143"/>
      <c r="D275" s="144"/>
      <c r="E275" s="119"/>
      <c r="F275" s="120"/>
      <c r="G275" s="119"/>
      <c r="H275" s="120"/>
      <c r="I275" s="119"/>
      <c r="J275" s="120"/>
      <c r="K275" s="119"/>
      <c r="L275" s="120"/>
      <c r="M275" s="119"/>
      <c r="N275" s="120"/>
      <c r="O275" s="119"/>
      <c r="P275" s="120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customFormat="false" ht="14.25" hidden="false" customHeight="true" outlineLevel="0" collapsed="false">
      <c r="A276" s="141"/>
      <c r="B276" s="142"/>
      <c r="C276" s="143"/>
      <c r="D276" s="144"/>
      <c r="E276" s="119"/>
      <c r="F276" s="120"/>
      <c r="G276" s="119"/>
      <c r="H276" s="120"/>
      <c r="I276" s="119"/>
      <c r="J276" s="120"/>
      <c r="K276" s="119"/>
      <c r="L276" s="120"/>
      <c r="M276" s="119"/>
      <c r="N276" s="120"/>
      <c r="O276" s="119"/>
      <c r="P276" s="120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customFormat="false" ht="14.25" hidden="false" customHeight="true" outlineLevel="0" collapsed="false">
      <c r="A277" s="141"/>
      <c r="B277" s="142"/>
      <c r="C277" s="143"/>
      <c r="D277" s="144"/>
      <c r="E277" s="119"/>
      <c r="F277" s="120"/>
      <c r="G277" s="119"/>
      <c r="H277" s="120"/>
      <c r="I277" s="119"/>
      <c r="J277" s="120"/>
      <c r="K277" s="119"/>
      <c r="L277" s="120"/>
      <c r="M277" s="119"/>
      <c r="N277" s="120"/>
      <c r="O277" s="119"/>
      <c r="P277" s="120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customFormat="false" ht="14.25" hidden="false" customHeight="true" outlineLevel="0" collapsed="false">
      <c r="A278" s="141"/>
      <c r="B278" s="142"/>
      <c r="C278" s="143"/>
      <c r="D278" s="144"/>
      <c r="E278" s="119"/>
      <c r="F278" s="120"/>
      <c r="G278" s="119"/>
      <c r="H278" s="120"/>
      <c r="I278" s="119"/>
      <c r="J278" s="120"/>
      <c r="K278" s="119"/>
      <c r="L278" s="120"/>
      <c r="M278" s="119"/>
      <c r="N278" s="120"/>
      <c r="O278" s="119"/>
      <c r="P278" s="120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customFormat="false" ht="14.25" hidden="false" customHeight="true" outlineLevel="0" collapsed="false">
      <c r="A279" s="141"/>
      <c r="B279" s="142"/>
      <c r="C279" s="143"/>
      <c r="D279" s="144"/>
      <c r="E279" s="119"/>
      <c r="F279" s="120"/>
      <c r="G279" s="119"/>
      <c r="H279" s="120"/>
      <c r="I279" s="119"/>
      <c r="J279" s="120"/>
      <c r="K279" s="119"/>
      <c r="L279" s="120"/>
      <c r="M279" s="119"/>
      <c r="N279" s="120"/>
      <c r="O279" s="119"/>
      <c r="P279" s="120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customFormat="false" ht="14.25" hidden="false" customHeight="true" outlineLevel="0" collapsed="false">
      <c r="A280" s="141"/>
      <c r="B280" s="142"/>
      <c r="C280" s="143"/>
      <c r="D280" s="144"/>
      <c r="E280" s="119"/>
      <c r="F280" s="120"/>
      <c r="G280" s="119"/>
      <c r="H280" s="120"/>
      <c r="I280" s="119"/>
      <c r="J280" s="120"/>
      <c r="K280" s="119"/>
      <c r="L280" s="120"/>
      <c r="M280" s="119"/>
      <c r="N280" s="120"/>
      <c r="O280" s="119"/>
      <c r="P280" s="120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customFormat="false" ht="14.25" hidden="false" customHeight="true" outlineLevel="0" collapsed="false">
      <c r="A281" s="141"/>
      <c r="B281" s="142"/>
      <c r="C281" s="143"/>
      <c r="D281" s="144"/>
      <c r="E281" s="119"/>
      <c r="F281" s="120"/>
      <c r="G281" s="119"/>
      <c r="H281" s="120"/>
      <c r="I281" s="119"/>
      <c r="J281" s="120"/>
      <c r="K281" s="119"/>
      <c r="L281" s="120"/>
      <c r="M281" s="119"/>
      <c r="N281" s="120"/>
      <c r="O281" s="119"/>
      <c r="P281" s="120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customFormat="false" ht="14.25" hidden="false" customHeight="true" outlineLevel="0" collapsed="false">
      <c r="A282" s="141"/>
      <c r="B282" s="142"/>
      <c r="C282" s="143"/>
      <c r="D282" s="144"/>
      <c r="E282" s="119"/>
      <c r="F282" s="120"/>
      <c r="G282" s="119"/>
      <c r="H282" s="120"/>
      <c r="I282" s="119"/>
      <c r="J282" s="120"/>
      <c r="K282" s="119"/>
      <c r="L282" s="120"/>
      <c r="M282" s="119"/>
      <c r="N282" s="120"/>
      <c r="O282" s="119"/>
      <c r="P282" s="120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customFormat="false" ht="14.25" hidden="false" customHeight="true" outlineLevel="0" collapsed="false">
      <c r="A283" s="141"/>
      <c r="B283" s="142"/>
      <c r="C283" s="143"/>
      <c r="D283" s="144"/>
      <c r="E283" s="119"/>
      <c r="F283" s="120"/>
      <c r="G283" s="119"/>
      <c r="H283" s="120"/>
      <c r="I283" s="119"/>
      <c r="J283" s="120"/>
      <c r="K283" s="119"/>
      <c r="L283" s="120"/>
      <c r="M283" s="119"/>
      <c r="N283" s="120"/>
      <c r="O283" s="119"/>
      <c r="P283" s="120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customFormat="false" ht="14.25" hidden="false" customHeight="true" outlineLevel="0" collapsed="false">
      <c r="A284" s="141"/>
      <c r="B284" s="142"/>
      <c r="C284" s="143"/>
      <c r="D284" s="144"/>
      <c r="E284" s="119"/>
      <c r="F284" s="120"/>
      <c r="G284" s="119"/>
      <c r="H284" s="120"/>
      <c r="I284" s="119"/>
      <c r="J284" s="120"/>
      <c r="K284" s="119"/>
      <c r="L284" s="120"/>
      <c r="M284" s="119"/>
      <c r="N284" s="120"/>
      <c r="O284" s="119"/>
      <c r="P284" s="120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customFormat="false" ht="14.25" hidden="false" customHeight="true" outlineLevel="0" collapsed="false">
      <c r="A285" s="141"/>
      <c r="B285" s="142"/>
      <c r="C285" s="143"/>
      <c r="D285" s="144"/>
      <c r="E285" s="119"/>
      <c r="F285" s="120"/>
      <c r="G285" s="119"/>
      <c r="H285" s="120"/>
      <c r="I285" s="119"/>
      <c r="J285" s="120"/>
      <c r="K285" s="119"/>
      <c r="L285" s="120"/>
      <c r="M285" s="119"/>
      <c r="N285" s="120"/>
      <c r="O285" s="119"/>
      <c r="P285" s="120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customFormat="false" ht="14.25" hidden="false" customHeight="true" outlineLevel="0" collapsed="false">
      <c r="A286" s="141"/>
      <c r="B286" s="142"/>
      <c r="C286" s="143"/>
      <c r="D286" s="144"/>
      <c r="E286" s="119"/>
      <c r="F286" s="120"/>
      <c r="G286" s="119"/>
      <c r="H286" s="120"/>
      <c r="I286" s="119"/>
      <c r="J286" s="120"/>
      <c r="K286" s="119"/>
      <c r="L286" s="120"/>
      <c r="M286" s="119"/>
      <c r="N286" s="120"/>
      <c r="O286" s="119"/>
      <c r="P286" s="120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customFormat="false" ht="14.25" hidden="false" customHeight="true" outlineLevel="0" collapsed="false">
      <c r="A287" s="141"/>
      <c r="B287" s="142"/>
      <c r="C287" s="143"/>
      <c r="D287" s="144"/>
      <c r="E287" s="119"/>
      <c r="F287" s="120"/>
      <c r="G287" s="119"/>
      <c r="H287" s="120"/>
      <c r="I287" s="119"/>
      <c r="J287" s="120"/>
      <c r="K287" s="119"/>
      <c r="L287" s="120"/>
      <c r="M287" s="119"/>
      <c r="N287" s="120"/>
      <c r="O287" s="119"/>
      <c r="P287" s="120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customFormat="false" ht="14.25" hidden="false" customHeight="true" outlineLevel="0" collapsed="false">
      <c r="A288" s="141"/>
      <c r="B288" s="142"/>
      <c r="C288" s="143"/>
      <c r="D288" s="144"/>
      <c r="E288" s="119"/>
      <c r="F288" s="120"/>
      <c r="G288" s="119"/>
      <c r="H288" s="120"/>
      <c r="I288" s="119"/>
      <c r="J288" s="120"/>
      <c r="K288" s="119"/>
      <c r="L288" s="120"/>
      <c r="M288" s="119"/>
      <c r="N288" s="120"/>
      <c r="O288" s="119"/>
      <c r="P288" s="120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customFormat="false" ht="14.25" hidden="false" customHeight="true" outlineLevel="0" collapsed="false">
      <c r="A289" s="141"/>
      <c r="B289" s="142"/>
      <c r="C289" s="143"/>
      <c r="D289" s="144"/>
      <c r="E289" s="119"/>
      <c r="F289" s="120"/>
      <c r="G289" s="119"/>
      <c r="H289" s="120"/>
      <c r="I289" s="119"/>
      <c r="J289" s="120"/>
      <c r="K289" s="119"/>
      <c r="L289" s="120"/>
      <c r="M289" s="119"/>
      <c r="N289" s="120"/>
      <c r="O289" s="119"/>
      <c r="P289" s="120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customFormat="false" ht="14.25" hidden="false" customHeight="true" outlineLevel="0" collapsed="false">
      <c r="A290" s="141"/>
      <c r="B290" s="142"/>
      <c r="C290" s="143"/>
      <c r="D290" s="144"/>
      <c r="E290" s="119"/>
      <c r="F290" s="120"/>
      <c r="G290" s="119"/>
      <c r="H290" s="120"/>
      <c r="I290" s="119"/>
      <c r="J290" s="120"/>
      <c r="K290" s="119"/>
      <c r="L290" s="120"/>
      <c r="M290" s="119"/>
      <c r="N290" s="120"/>
      <c r="O290" s="119"/>
      <c r="P290" s="120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customFormat="false" ht="14.25" hidden="false" customHeight="true" outlineLevel="0" collapsed="false">
      <c r="A291" s="141"/>
      <c r="B291" s="142"/>
      <c r="C291" s="143"/>
      <c r="D291" s="144"/>
      <c r="E291" s="119"/>
      <c r="F291" s="120"/>
      <c r="G291" s="119"/>
      <c r="H291" s="120"/>
      <c r="I291" s="119"/>
      <c r="J291" s="120"/>
      <c r="K291" s="119"/>
      <c r="L291" s="120"/>
      <c r="M291" s="119"/>
      <c r="N291" s="120"/>
      <c r="O291" s="119"/>
      <c r="P291" s="120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customFormat="false" ht="14.25" hidden="false" customHeight="true" outlineLevel="0" collapsed="false">
      <c r="A292" s="141"/>
      <c r="B292" s="142"/>
      <c r="C292" s="143"/>
      <c r="D292" s="144"/>
      <c r="E292" s="119"/>
      <c r="F292" s="120"/>
      <c r="G292" s="119"/>
      <c r="H292" s="120"/>
      <c r="I292" s="119"/>
      <c r="J292" s="120"/>
      <c r="K292" s="119"/>
      <c r="L292" s="120"/>
      <c r="M292" s="119"/>
      <c r="N292" s="120"/>
      <c r="O292" s="119"/>
      <c r="P292" s="120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customFormat="false" ht="14.25" hidden="false" customHeight="true" outlineLevel="0" collapsed="false">
      <c r="A293" s="141"/>
      <c r="B293" s="142"/>
      <c r="C293" s="143"/>
      <c r="D293" s="144"/>
      <c r="E293" s="119"/>
      <c r="F293" s="120"/>
      <c r="G293" s="119"/>
      <c r="H293" s="120"/>
      <c r="I293" s="119"/>
      <c r="J293" s="120"/>
      <c r="K293" s="119"/>
      <c r="L293" s="120"/>
      <c r="M293" s="119"/>
      <c r="N293" s="120"/>
      <c r="O293" s="119"/>
      <c r="P293" s="120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customFormat="false" ht="14.25" hidden="false" customHeight="true" outlineLevel="0" collapsed="false">
      <c r="A294" s="141"/>
      <c r="B294" s="142"/>
      <c r="C294" s="143"/>
      <c r="D294" s="144"/>
      <c r="E294" s="119"/>
      <c r="F294" s="120"/>
      <c r="G294" s="119"/>
      <c r="H294" s="120"/>
      <c r="I294" s="119"/>
      <c r="J294" s="120"/>
      <c r="K294" s="119"/>
      <c r="L294" s="120"/>
      <c r="M294" s="119"/>
      <c r="N294" s="120"/>
      <c r="O294" s="119"/>
      <c r="P294" s="120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customFormat="false" ht="14.25" hidden="false" customHeight="true" outlineLevel="0" collapsed="false">
      <c r="A295" s="141"/>
      <c r="B295" s="142"/>
      <c r="C295" s="143"/>
      <c r="D295" s="144"/>
      <c r="E295" s="119"/>
      <c r="F295" s="120"/>
      <c r="G295" s="119"/>
      <c r="H295" s="120"/>
      <c r="I295" s="119"/>
      <c r="J295" s="120"/>
      <c r="K295" s="119"/>
      <c r="L295" s="120"/>
      <c r="M295" s="119"/>
      <c r="N295" s="120"/>
      <c r="O295" s="119"/>
      <c r="P295" s="120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customFormat="false" ht="14.25" hidden="false" customHeight="true" outlineLevel="0" collapsed="false">
      <c r="A296" s="141"/>
      <c r="B296" s="142"/>
      <c r="C296" s="143"/>
      <c r="D296" s="144"/>
      <c r="E296" s="119"/>
      <c r="F296" s="120"/>
      <c r="G296" s="119"/>
      <c r="H296" s="120"/>
      <c r="I296" s="119"/>
      <c r="J296" s="120"/>
      <c r="K296" s="119"/>
      <c r="L296" s="120"/>
      <c r="M296" s="119"/>
      <c r="N296" s="120"/>
      <c r="O296" s="119"/>
      <c r="P296" s="120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customFormat="false" ht="14.25" hidden="false" customHeight="true" outlineLevel="0" collapsed="false">
      <c r="A297" s="141"/>
      <c r="B297" s="142"/>
      <c r="C297" s="143"/>
      <c r="D297" s="144"/>
      <c r="E297" s="119"/>
      <c r="F297" s="120"/>
      <c r="G297" s="119"/>
      <c r="H297" s="120"/>
      <c r="I297" s="119"/>
      <c r="J297" s="120"/>
      <c r="K297" s="119"/>
      <c r="L297" s="120"/>
      <c r="M297" s="119"/>
      <c r="N297" s="120"/>
      <c r="O297" s="119"/>
      <c r="P297" s="120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customFormat="false" ht="14.25" hidden="false" customHeight="true" outlineLevel="0" collapsed="false">
      <c r="A298" s="141"/>
      <c r="B298" s="142"/>
      <c r="C298" s="143"/>
      <c r="D298" s="144"/>
      <c r="E298" s="119"/>
      <c r="F298" s="120"/>
      <c r="G298" s="119"/>
      <c r="H298" s="120"/>
      <c r="I298" s="119"/>
      <c r="J298" s="120"/>
      <c r="K298" s="119"/>
      <c r="L298" s="120"/>
      <c r="M298" s="119"/>
      <c r="N298" s="120"/>
      <c r="O298" s="119"/>
      <c r="P298" s="120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customFormat="false" ht="14.25" hidden="false" customHeight="true" outlineLevel="0" collapsed="false">
      <c r="A299" s="141"/>
      <c r="B299" s="142"/>
      <c r="C299" s="143"/>
      <c r="D299" s="144"/>
      <c r="E299" s="119"/>
      <c r="F299" s="120"/>
      <c r="G299" s="119"/>
      <c r="H299" s="120"/>
      <c r="I299" s="119"/>
      <c r="J299" s="120"/>
      <c r="K299" s="119"/>
      <c r="L299" s="120"/>
      <c r="M299" s="119"/>
      <c r="N299" s="120"/>
      <c r="O299" s="119"/>
      <c r="P299" s="120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customFormat="false" ht="14.25" hidden="false" customHeight="true" outlineLevel="0" collapsed="false">
      <c r="A300" s="141"/>
      <c r="B300" s="142"/>
      <c r="C300" s="143"/>
      <c r="D300" s="144"/>
      <c r="E300" s="119"/>
      <c r="F300" s="120"/>
      <c r="G300" s="119"/>
      <c r="H300" s="120"/>
      <c r="I300" s="119"/>
      <c r="J300" s="120"/>
      <c r="K300" s="119"/>
      <c r="L300" s="120"/>
      <c r="M300" s="119"/>
      <c r="N300" s="120"/>
      <c r="O300" s="119"/>
      <c r="P300" s="120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customFormat="false" ht="14.25" hidden="false" customHeight="true" outlineLevel="0" collapsed="false">
      <c r="A301" s="141"/>
      <c r="B301" s="142"/>
      <c r="C301" s="143"/>
      <c r="D301" s="144"/>
      <c r="E301" s="119"/>
      <c r="F301" s="120"/>
      <c r="G301" s="119"/>
      <c r="H301" s="120"/>
      <c r="I301" s="119"/>
      <c r="J301" s="120"/>
      <c r="K301" s="119"/>
      <c r="L301" s="120"/>
      <c r="M301" s="119"/>
      <c r="N301" s="120"/>
      <c r="O301" s="119"/>
      <c r="P301" s="120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customFormat="false" ht="14.25" hidden="false" customHeight="true" outlineLevel="0" collapsed="false">
      <c r="A302" s="141"/>
      <c r="B302" s="142"/>
      <c r="C302" s="143"/>
      <c r="D302" s="144"/>
      <c r="E302" s="119"/>
      <c r="F302" s="120"/>
      <c r="G302" s="119"/>
      <c r="H302" s="120"/>
      <c r="I302" s="119"/>
      <c r="J302" s="120"/>
      <c r="K302" s="119"/>
      <c r="L302" s="120"/>
      <c r="M302" s="119"/>
      <c r="N302" s="120"/>
      <c r="O302" s="119"/>
      <c r="P302" s="120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customFormat="false" ht="14.25" hidden="false" customHeight="true" outlineLevel="0" collapsed="false">
      <c r="A303" s="141"/>
      <c r="B303" s="142"/>
      <c r="C303" s="143"/>
      <c r="D303" s="144"/>
      <c r="E303" s="119"/>
      <c r="F303" s="120"/>
      <c r="G303" s="119"/>
      <c r="H303" s="120"/>
      <c r="I303" s="119"/>
      <c r="J303" s="120"/>
      <c r="K303" s="119"/>
      <c r="L303" s="120"/>
      <c r="M303" s="119"/>
      <c r="N303" s="120"/>
      <c r="O303" s="119"/>
      <c r="P303" s="120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customFormat="false" ht="14.25" hidden="false" customHeight="true" outlineLevel="0" collapsed="false">
      <c r="A304" s="141"/>
      <c r="B304" s="142"/>
      <c r="C304" s="143"/>
      <c r="D304" s="144"/>
      <c r="E304" s="119"/>
      <c r="F304" s="120"/>
      <c r="G304" s="119"/>
      <c r="H304" s="120"/>
      <c r="I304" s="119"/>
      <c r="J304" s="120"/>
      <c r="K304" s="119"/>
      <c r="L304" s="120"/>
      <c r="M304" s="119"/>
      <c r="N304" s="120"/>
      <c r="O304" s="119"/>
      <c r="P304" s="120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customFormat="false" ht="14.25" hidden="false" customHeight="true" outlineLevel="0" collapsed="false">
      <c r="A305" s="141"/>
      <c r="B305" s="142"/>
      <c r="C305" s="143"/>
      <c r="D305" s="144"/>
      <c r="E305" s="119"/>
      <c r="F305" s="120"/>
      <c r="G305" s="119"/>
      <c r="H305" s="120"/>
      <c r="I305" s="119"/>
      <c r="J305" s="120"/>
      <c r="K305" s="119"/>
      <c r="L305" s="120"/>
      <c r="M305" s="119"/>
      <c r="N305" s="120"/>
      <c r="O305" s="119"/>
      <c r="P305" s="120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customFormat="false" ht="14.25" hidden="false" customHeight="true" outlineLevel="0" collapsed="false">
      <c r="A306" s="141"/>
      <c r="B306" s="142"/>
      <c r="C306" s="143"/>
      <c r="D306" s="144"/>
      <c r="E306" s="119"/>
      <c r="F306" s="120"/>
      <c r="G306" s="119"/>
      <c r="H306" s="120"/>
      <c r="I306" s="119"/>
      <c r="J306" s="120"/>
      <c r="K306" s="119"/>
      <c r="L306" s="120"/>
      <c r="M306" s="119"/>
      <c r="N306" s="120"/>
      <c r="O306" s="119"/>
      <c r="P306" s="120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customFormat="false" ht="14.25" hidden="false" customHeight="true" outlineLevel="0" collapsed="false">
      <c r="A307" s="141"/>
      <c r="B307" s="142"/>
      <c r="C307" s="143"/>
      <c r="D307" s="144"/>
      <c r="E307" s="119"/>
      <c r="F307" s="120"/>
      <c r="G307" s="119"/>
      <c r="H307" s="120"/>
      <c r="I307" s="119"/>
      <c r="J307" s="120"/>
      <c r="K307" s="119"/>
      <c r="L307" s="120"/>
      <c r="M307" s="119"/>
      <c r="N307" s="120"/>
      <c r="O307" s="119"/>
      <c r="P307" s="120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customFormat="false" ht="14.25" hidden="false" customHeight="true" outlineLevel="0" collapsed="false">
      <c r="A308" s="141"/>
      <c r="B308" s="142"/>
      <c r="C308" s="143"/>
      <c r="D308" s="144"/>
      <c r="E308" s="119"/>
      <c r="F308" s="120"/>
      <c r="G308" s="119"/>
      <c r="H308" s="120"/>
      <c r="I308" s="119"/>
      <c r="J308" s="120"/>
      <c r="K308" s="119"/>
      <c r="L308" s="120"/>
      <c r="M308" s="119"/>
      <c r="N308" s="120"/>
      <c r="O308" s="119"/>
      <c r="P308" s="120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customFormat="false" ht="14.25" hidden="false" customHeight="true" outlineLevel="0" collapsed="false">
      <c r="A309" s="141"/>
      <c r="B309" s="142"/>
      <c r="C309" s="143"/>
      <c r="D309" s="144"/>
      <c r="E309" s="119"/>
      <c r="F309" s="120"/>
      <c r="G309" s="119"/>
      <c r="H309" s="120"/>
      <c r="I309" s="119"/>
      <c r="J309" s="120"/>
      <c r="K309" s="119"/>
      <c r="L309" s="120"/>
      <c r="M309" s="119"/>
      <c r="N309" s="120"/>
      <c r="O309" s="119"/>
      <c r="P309" s="120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customFormat="false" ht="14.25" hidden="false" customHeight="true" outlineLevel="0" collapsed="false">
      <c r="A310" s="141"/>
      <c r="B310" s="142"/>
      <c r="C310" s="143"/>
      <c r="D310" s="144"/>
      <c r="E310" s="119"/>
      <c r="F310" s="120"/>
      <c r="G310" s="119"/>
      <c r="H310" s="120"/>
      <c r="I310" s="119"/>
      <c r="J310" s="120"/>
      <c r="K310" s="119"/>
      <c r="L310" s="120"/>
      <c r="M310" s="119"/>
      <c r="N310" s="120"/>
      <c r="O310" s="119"/>
      <c r="P310" s="120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customFormat="false" ht="14.25" hidden="false" customHeight="true" outlineLevel="0" collapsed="false">
      <c r="A311" s="141"/>
      <c r="B311" s="142"/>
      <c r="C311" s="143"/>
      <c r="D311" s="144"/>
      <c r="E311" s="119"/>
      <c r="F311" s="120"/>
      <c r="G311" s="119"/>
      <c r="H311" s="120"/>
      <c r="I311" s="119"/>
      <c r="J311" s="120"/>
      <c r="K311" s="119"/>
      <c r="L311" s="120"/>
      <c r="M311" s="119"/>
      <c r="N311" s="120"/>
      <c r="O311" s="119"/>
      <c r="P311" s="120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customFormat="false" ht="14.25" hidden="false" customHeight="true" outlineLevel="0" collapsed="false">
      <c r="A312" s="141"/>
      <c r="B312" s="142"/>
      <c r="C312" s="143"/>
      <c r="D312" s="144"/>
      <c r="E312" s="119"/>
      <c r="F312" s="120"/>
      <c r="G312" s="119"/>
      <c r="H312" s="120"/>
      <c r="I312" s="119"/>
      <c r="J312" s="120"/>
      <c r="K312" s="119"/>
      <c r="L312" s="120"/>
      <c r="M312" s="119"/>
      <c r="N312" s="120"/>
      <c r="O312" s="119"/>
      <c r="P312" s="120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customFormat="false" ht="14.25" hidden="false" customHeight="true" outlineLevel="0" collapsed="false">
      <c r="A313" s="141"/>
      <c r="B313" s="142"/>
      <c r="C313" s="143"/>
      <c r="D313" s="144"/>
      <c r="E313" s="119"/>
      <c r="F313" s="120"/>
      <c r="G313" s="119"/>
      <c r="H313" s="120"/>
      <c r="I313" s="119"/>
      <c r="J313" s="120"/>
      <c r="K313" s="119"/>
      <c r="L313" s="120"/>
      <c r="M313" s="119"/>
      <c r="N313" s="120"/>
      <c r="O313" s="119"/>
      <c r="P313" s="120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customFormat="false" ht="14.25" hidden="false" customHeight="true" outlineLevel="0" collapsed="false">
      <c r="A314" s="141"/>
      <c r="B314" s="142"/>
      <c r="C314" s="143"/>
      <c r="D314" s="144"/>
      <c r="E314" s="119"/>
      <c r="F314" s="120"/>
      <c r="G314" s="119"/>
      <c r="H314" s="120"/>
      <c r="I314" s="119"/>
      <c r="J314" s="120"/>
      <c r="K314" s="119"/>
      <c r="L314" s="120"/>
      <c r="M314" s="119"/>
      <c r="N314" s="120"/>
      <c r="O314" s="119"/>
      <c r="P314" s="120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customFormat="false" ht="14.25" hidden="false" customHeight="true" outlineLevel="0" collapsed="false">
      <c r="A315" s="141"/>
      <c r="B315" s="142"/>
      <c r="C315" s="143"/>
      <c r="D315" s="144"/>
      <c r="E315" s="119"/>
      <c r="F315" s="120"/>
      <c r="G315" s="119"/>
      <c r="H315" s="120"/>
      <c r="I315" s="119"/>
      <c r="J315" s="120"/>
      <c r="K315" s="119"/>
      <c r="L315" s="120"/>
      <c r="M315" s="119"/>
      <c r="N315" s="120"/>
      <c r="O315" s="119"/>
      <c r="P315" s="120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customFormat="false" ht="14.25" hidden="false" customHeight="true" outlineLevel="0" collapsed="false">
      <c r="A316" s="141"/>
      <c r="B316" s="142"/>
      <c r="C316" s="143"/>
      <c r="D316" s="144"/>
      <c r="E316" s="119"/>
      <c r="F316" s="120"/>
      <c r="G316" s="119"/>
      <c r="H316" s="120"/>
      <c r="I316" s="119"/>
      <c r="J316" s="120"/>
      <c r="K316" s="119"/>
      <c r="L316" s="120"/>
      <c r="M316" s="119"/>
      <c r="N316" s="120"/>
      <c r="O316" s="119"/>
      <c r="P316" s="120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customFormat="false" ht="14.25" hidden="false" customHeight="true" outlineLevel="0" collapsed="false">
      <c r="A317" s="141"/>
      <c r="B317" s="142"/>
      <c r="C317" s="143"/>
      <c r="D317" s="144"/>
      <c r="E317" s="119"/>
      <c r="F317" s="120"/>
      <c r="G317" s="119"/>
      <c r="H317" s="120"/>
      <c r="I317" s="119"/>
      <c r="J317" s="120"/>
      <c r="K317" s="119"/>
      <c r="L317" s="120"/>
      <c r="M317" s="119"/>
      <c r="N317" s="120"/>
      <c r="O317" s="119"/>
      <c r="P317" s="120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customFormat="false" ht="14.25" hidden="false" customHeight="true" outlineLevel="0" collapsed="false">
      <c r="A318" s="141"/>
      <c r="B318" s="142"/>
      <c r="C318" s="143"/>
      <c r="D318" s="144"/>
      <c r="E318" s="119"/>
      <c r="F318" s="120"/>
      <c r="G318" s="119"/>
      <c r="H318" s="120"/>
      <c r="I318" s="119"/>
      <c r="J318" s="120"/>
      <c r="K318" s="119"/>
      <c r="L318" s="120"/>
      <c r="M318" s="119"/>
      <c r="N318" s="120"/>
      <c r="O318" s="119"/>
      <c r="P318" s="120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customFormat="false" ht="14.25" hidden="false" customHeight="true" outlineLevel="0" collapsed="false">
      <c r="A319" s="141"/>
      <c r="B319" s="142"/>
      <c r="C319" s="143"/>
      <c r="D319" s="144"/>
      <c r="E319" s="119"/>
      <c r="F319" s="120"/>
      <c r="G319" s="119"/>
      <c r="H319" s="120"/>
      <c r="I319" s="119"/>
      <c r="J319" s="120"/>
      <c r="K319" s="119"/>
      <c r="L319" s="120"/>
      <c r="M319" s="119"/>
      <c r="N319" s="120"/>
      <c r="O319" s="119"/>
      <c r="P319" s="120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customFormat="false" ht="14.25" hidden="false" customHeight="true" outlineLevel="0" collapsed="false">
      <c r="A320" s="141"/>
      <c r="B320" s="142"/>
      <c r="C320" s="143"/>
      <c r="D320" s="144"/>
      <c r="E320" s="119"/>
      <c r="F320" s="120"/>
      <c r="G320" s="119"/>
      <c r="H320" s="120"/>
      <c r="I320" s="119"/>
      <c r="J320" s="120"/>
      <c r="K320" s="119"/>
      <c r="L320" s="120"/>
      <c r="M320" s="119"/>
      <c r="N320" s="120"/>
      <c r="O320" s="119"/>
      <c r="P320" s="120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customFormat="false" ht="14.25" hidden="false" customHeight="true" outlineLevel="0" collapsed="false">
      <c r="A321" s="141"/>
      <c r="B321" s="142"/>
      <c r="C321" s="143"/>
      <c r="D321" s="144"/>
      <c r="E321" s="119"/>
      <c r="F321" s="120"/>
      <c r="G321" s="119"/>
      <c r="H321" s="120"/>
      <c r="I321" s="119"/>
      <c r="J321" s="120"/>
      <c r="K321" s="119"/>
      <c r="L321" s="120"/>
      <c r="M321" s="119"/>
      <c r="N321" s="120"/>
      <c r="O321" s="119"/>
      <c r="P321" s="120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customFormat="false" ht="14.25" hidden="false" customHeight="true" outlineLevel="0" collapsed="false">
      <c r="A322" s="141"/>
      <c r="B322" s="142"/>
      <c r="C322" s="143"/>
      <c r="D322" s="144"/>
      <c r="E322" s="119"/>
      <c r="F322" s="120"/>
      <c r="G322" s="119"/>
      <c r="H322" s="120"/>
      <c r="I322" s="119"/>
      <c r="J322" s="120"/>
      <c r="K322" s="119"/>
      <c r="L322" s="120"/>
      <c r="M322" s="119"/>
      <c r="N322" s="120"/>
      <c r="O322" s="119"/>
      <c r="P322" s="120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customFormat="false" ht="14.25" hidden="false" customHeight="true" outlineLevel="0" collapsed="false">
      <c r="A323" s="141"/>
      <c r="B323" s="142"/>
      <c r="C323" s="143"/>
      <c r="D323" s="144"/>
      <c r="E323" s="119"/>
      <c r="F323" s="120"/>
      <c r="G323" s="119"/>
      <c r="H323" s="120"/>
      <c r="I323" s="119"/>
      <c r="J323" s="120"/>
      <c r="K323" s="119"/>
      <c r="L323" s="120"/>
      <c r="M323" s="119"/>
      <c r="N323" s="120"/>
      <c r="O323" s="119"/>
      <c r="P323" s="120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customFormat="false" ht="14.25" hidden="false" customHeight="true" outlineLevel="0" collapsed="false">
      <c r="A324" s="141"/>
      <c r="B324" s="142"/>
      <c r="C324" s="143"/>
      <c r="D324" s="144"/>
      <c r="E324" s="119"/>
      <c r="F324" s="120"/>
      <c r="G324" s="119"/>
      <c r="H324" s="120"/>
      <c r="I324" s="119"/>
      <c r="J324" s="120"/>
      <c r="K324" s="119"/>
      <c r="L324" s="120"/>
      <c r="M324" s="119"/>
      <c r="N324" s="120"/>
      <c r="O324" s="119"/>
      <c r="P324" s="120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customFormat="false" ht="14.25" hidden="false" customHeight="true" outlineLevel="0" collapsed="false">
      <c r="A325" s="141"/>
      <c r="B325" s="142"/>
      <c r="C325" s="143"/>
      <c r="D325" s="144"/>
      <c r="E325" s="119"/>
      <c r="F325" s="120"/>
      <c r="G325" s="119"/>
      <c r="H325" s="120"/>
      <c r="I325" s="119"/>
      <c r="J325" s="120"/>
      <c r="K325" s="119"/>
      <c r="L325" s="120"/>
      <c r="M325" s="119"/>
      <c r="N325" s="120"/>
      <c r="O325" s="119"/>
      <c r="P325" s="120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customFormat="false" ht="14.25" hidden="false" customHeight="true" outlineLevel="0" collapsed="false">
      <c r="A326" s="141"/>
      <c r="B326" s="142"/>
      <c r="C326" s="143"/>
      <c r="D326" s="144"/>
      <c r="E326" s="119"/>
      <c r="F326" s="120"/>
      <c r="G326" s="119"/>
      <c r="H326" s="120"/>
      <c r="I326" s="119"/>
      <c r="J326" s="120"/>
      <c r="K326" s="119"/>
      <c r="L326" s="120"/>
      <c r="M326" s="119"/>
      <c r="N326" s="120"/>
      <c r="O326" s="119"/>
      <c r="P326" s="120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customFormat="false" ht="14.25" hidden="false" customHeight="true" outlineLevel="0" collapsed="false">
      <c r="A327" s="141"/>
      <c r="B327" s="142"/>
      <c r="C327" s="143"/>
      <c r="D327" s="144"/>
      <c r="E327" s="119"/>
      <c r="F327" s="120"/>
      <c r="G327" s="119"/>
      <c r="H327" s="120"/>
      <c r="I327" s="119"/>
      <c r="J327" s="120"/>
      <c r="K327" s="119"/>
      <c r="L327" s="120"/>
      <c r="M327" s="119"/>
      <c r="N327" s="120"/>
      <c r="O327" s="119"/>
      <c r="P327" s="120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customFormat="false" ht="14.25" hidden="false" customHeight="true" outlineLevel="0" collapsed="false">
      <c r="A328" s="141"/>
      <c r="B328" s="142"/>
      <c r="C328" s="143"/>
      <c r="D328" s="144"/>
      <c r="E328" s="119"/>
      <c r="F328" s="120"/>
      <c r="G328" s="119"/>
      <c r="H328" s="120"/>
      <c r="I328" s="119"/>
      <c r="J328" s="120"/>
      <c r="K328" s="119"/>
      <c r="L328" s="120"/>
      <c r="M328" s="119"/>
      <c r="N328" s="120"/>
      <c r="O328" s="119"/>
      <c r="P328" s="120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customFormat="false" ht="14.25" hidden="false" customHeight="true" outlineLevel="0" collapsed="false">
      <c r="A329" s="141"/>
      <c r="B329" s="142"/>
      <c r="C329" s="143"/>
      <c r="D329" s="144"/>
      <c r="E329" s="119"/>
      <c r="F329" s="120"/>
      <c r="G329" s="119"/>
      <c r="H329" s="120"/>
      <c r="I329" s="119"/>
      <c r="J329" s="120"/>
      <c r="K329" s="119"/>
      <c r="L329" s="120"/>
      <c r="M329" s="119"/>
      <c r="N329" s="120"/>
      <c r="O329" s="119"/>
      <c r="P329" s="120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customFormat="false" ht="14.25" hidden="false" customHeight="true" outlineLevel="0" collapsed="false">
      <c r="A330" s="141"/>
      <c r="B330" s="142"/>
      <c r="C330" s="143"/>
      <c r="D330" s="144"/>
      <c r="E330" s="119"/>
      <c r="F330" s="120"/>
      <c r="G330" s="119"/>
      <c r="H330" s="120"/>
      <c r="I330" s="119"/>
      <c r="J330" s="120"/>
      <c r="K330" s="119"/>
      <c r="L330" s="120"/>
      <c r="M330" s="119"/>
      <c r="N330" s="120"/>
      <c r="O330" s="119"/>
      <c r="P330" s="120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customFormat="false" ht="14.25" hidden="false" customHeight="true" outlineLevel="0" collapsed="false">
      <c r="A331" s="141"/>
      <c r="B331" s="142"/>
      <c r="C331" s="143"/>
      <c r="D331" s="144"/>
      <c r="E331" s="119"/>
      <c r="F331" s="120"/>
      <c r="G331" s="119"/>
      <c r="H331" s="120"/>
      <c r="I331" s="119"/>
      <c r="J331" s="120"/>
      <c r="K331" s="119"/>
      <c r="L331" s="120"/>
      <c r="M331" s="119"/>
      <c r="N331" s="120"/>
      <c r="O331" s="119"/>
      <c r="P331" s="120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customFormat="false" ht="14.25" hidden="false" customHeight="true" outlineLevel="0" collapsed="false">
      <c r="A332" s="141"/>
      <c r="B332" s="142"/>
      <c r="C332" s="143"/>
      <c r="D332" s="144"/>
      <c r="E332" s="119"/>
      <c r="F332" s="120"/>
      <c r="G332" s="119"/>
      <c r="H332" s="120"/>
      <c r="I332" s="119"/>
      <c r="J332" s="120"/>
      <c r="K332" s="119"/>
      <c r="L332" s="120"/>
      <c r="M332" s="119"/>
      <c r="N332" s="120"/>
      <c r="O332" s="119"/>
      <c r="P332" s="120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customFormat="false" ht="14.25" hidden="false" customHeight="true" outlineLevel="0" collapsed="false">
      <c r="A333" s="141"/>
      <c r="B333" s="142"/>
      <c r="C333" s="143"/>
      <c r="D333" s="144"/>
      <c r="E333" s="119"/>
      <c r="F333" s="120"/>
      <c r="G333" s="119"/>
      <c r="H333" s="120"/>
      <c r="I333" s="119"/>
      <c r="J333" s="120"/>
      <c r="K333" s="119"/>
      <c r="L333" s="120"/>
      <c r="M333" s="119"/>
      <c r="N333" s="120"/>
      <c r="O333" s="119"/>
      <c r="P333" s="120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customFormat="false" ht="14.25" hidden="false" customHeight="true" outlineLevel="0" collapsed="false">
      <c r="A334" s="141"/>
      <c r="B334" s="142"/>
      <c r="C334" s="143"/>
      <c r="D334" s="144"/>
      <c r="E334" s="119"/>
      <c r="F334" s="120"/>
      <c r="G334" s="119"/>
      <c r="H334" s="120"/>
      <c r="I334" s="119"/>
      <c r="J334" s="120"/>
      <c r="K334" s="119"/>
      <c r="L334" s="120"/>
      <c r="M334" s="119"/>
      <c r="N334" s="120"/>
      <c r="O334" s="119"/>
      <c r="P334" s="120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customFormat="false" ht="14.25" hidden="false" customHeight="true" outlineLevel="0" collapsed="false">
      <c r="A335" s="141"/>
      <c r="B335" s="142"/>
      <c r="C335" s="143"/>
      <c r="D335" s="144"/>
      <c r="E335" s="119"/>
      <c r="F335" s="120"/>
      <c r="G335" s="119"/>
      <c r="H335" s="120"/>
      <c r="I335" s="119"/>
      <c r="J335" s="120"/>
      <c r="K335" s="119"/>
      <c r="L335" s="120"/>
      <c r="M335" s="119"/>
      <c r="N335" s="120"/>
      <c r="O335" s="119"/>
      <c r="P335" s="120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customFormat="false" ht="14.25" hidden="false" customHeight="true" outlineLevel="0" collapsed="false">
      <c r="A336" s="141"/>
      <c r="B336" s="142"/>
      <c r="C336" s="143"/>
      <c r="D336" s="144"/>
      <c r="E336" s="119"/>
      <c r="F336" s="120"/>
      <c r="G336" s="119"/>
      <c r="H336" s="120"/>
      <c r="I336" s="119"/>
      <c r="J336" s="120"/>
      <c r="K336" s="119"/>
      <c r="L336" s="120"/>
      <c r="M336" s="119"/>
      <c r="N336" s="120"/>
      <c r="O336" s="119"/>
      <c r="P336" s="120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customFormat="false" ht="14.25" hidden="false" customHeight="true" outlineLevel="0" collapsed="false">
      <c r="A337" s="141"/>
      <c r="B337" s="142"/>
      <c r="C337" s="143"/>
      <c r="D337" s="144"/>
      <c r="E337" s="119"/>
      <c r="F337" s="120"/>
      <c r="G337" s="119"/>
      <c r="H337" s="120"/>
      <c r="I337" s="119"/>
      <c r="J337" s="120"/>
      <c r="K337" s="119"/>
      <c r="L337" s="120"/>
      <c r="M337" s="119"/>
      <c r="N337" s="120"/>
      <c r="O337" s="119"/>
      <c r="P337" s="120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customFormat="false" ht="14.25" hidden="false" customHeight="true" outlineLevel="0" collapsed="false">
      <c r="A338" s="141"/>
      <c r="B338" s="142"/>
      <c r="C338" s="143"/>
      <c r="D338" s="144"/>
      <c r="E338" s="119"/>
      <c r="F338" s="120"/>
      <c r="G338" s="119"/>
      <c r="H338" s="120"/>
      <c r="I338" s="119"/>
      <c r="J338" s="120"/>
      <c r="K338" s="119"/>
      <c r="L338" s="120"/>
      <c r="M338" s="119"/>
      <c r="N338" s="120"/>
      <c r="O338" s="119"/>
      <c r="P338" s="120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customFormat="false" ht="14.25" hidden="false" customHeight="true" outlineLevel="0" collapsed="false">
      <c r="A339" s="141"/>
      <c r="B339" s="142"/>
      <c r="C339" s="143"/>
      <c r="D339" s="144"/>
      <c r="E339" s="119"/>
      <c r="F339" s="120"/>
      <c r="G339" s="119"/>
      <c r="H339" s="120"/>
      <c r="I339" s="119"/>
      <c r="J339" s="120"/>
      <c r="K339" s="119"/>
      <c r="L339" s="120"/>
      <c r="M339" s="119"/>
      <c r="N339" s="120"/>
      <c r="O339" s="119"/>
      <c r="P339" s="120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customFormat="false" ht="14.25" hidden="false" customHeight="true" outlineLevel="0" collapsed="false">
      <c r="A340" s="141"/>
      <c r="B340" s="142"/>
      <c r="C340" s="143"/>
      <c r="D340" s="144"/>
      <c r="E340" s="119"/>
      <c r="F340" s="120"/>
      <c r="G340" s="119"/>
      <c r="H340" s="120"/>
      <c r="I340" s="119"/>
      <c r="J340" s="120"/>
      <c r="K340" s="119"/>
      <c r="L340" s="120"/>
      <c r="M340" s="119"/>
      <c r="N340" s="120"/>
      <c r="O340" s="119"/>
      <c r="P340" s="120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customFormat="false" ht="14.25" hidden="false" customHeight="true" outlineLevel="0" collapsed="false">
      <c r="A341" s="141"/>
      <c r="B341" s="142"/>
      <c r="C341" s="143"/>
      <c r="D341" s="144"/>
      <c r="E341" s="119"/>
      <c r="F341" s="120"/>
      <c r="G341" s="119"/>
      <c r="H341" s="120"/>
      <c r="I341" s="119"/>
      <c r="J341" s="120"/>
      <c r="K341" s="119"/>
      <c r="L341" s="120"/>
      <c r="M341" s="119"/>
      <c r="N341" s="120"/>
      <c r="O341" s="119"/>
      <c r="P341" s="120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customFormat="false" ht="14.25" hidden="false" customHeight="true" outlineLevel="0" collapsed="false">
      <c r="A342" s="141"/>
      <c r="B342" s="142"/>
      <c r="C342" s="143"/>
      <c r="D342" s="144"/>
      <c r="E342" s="119"/>
      <c r="F342" s="120"/>
      <c r="G342" s="119"/>
      <c r="H342" s="120"/>
      <c r="I342" s="119"/>
      <c r="J342" s="120"/>
      <c r="K342" s="119"/>
      <c r="L342" s="120"/>
      <c r="M342" s="119"/>
      <c r="N342" s="120"/>
      <c r="O342" s="119"/>
      <c r="P342" s="120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customFormat="false" ht="14.25" hidden="false" customHeight="true" outlineLevel="0" collapsed="false">
      <c r="A343" s="141"/>
      <c r="B343" s="142"/>
      <c r="C343" s="143"/>
      <c r="D343" s="144"/>
      <c r="E343" s="119"/>
      <c r="F343" s="120"/>
      <c r="G343" s="119"/>
      <c r="H343" s="120"/>
      <c r="I343" s="119"/>
      <c r="J343" s="120"/>
      <c r="K343" s="119"/>
      <c r="L343" s="120"/>
      <c r="M343" s="119"/>
      <c r="N343" s="120"/>
      <c r="O343" s="119"/>
      <c r="P343" s="120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customFormat="false" ht="14.25" hidden="false" customHeight="true" outlineLevel="0" collapsed="false">
      <c r="A344" s="141"/>
      <c r="B344" s="142"/>
      <c r="C344" s="143"/>
      <c r="D344" s="144"/>
      <c r="E344" s="119"/>
      <c r="F344" s="120"/>
      <c r="G344" s="119"/>
      <c r="H344" s="120"/>
      <c r="I344" s="119"/>
      <c r="J344" s="120"/>
      <c r="K344" s="119"/>
      <c r="L344" s="120"/>
      <c r="M344" s="119"/>
      <c r="N344" s="120"/>
      <c r="O344" s="119"/>
      <c r="P344" s="120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customFormat="false" ht="14.25" hidden="false" customHeight="true" outlineLevel="0" collapsed="false">
      <c r="A345" s="141"/>
      <c r="B345" s="142"/>
      <c r="C345" s="143"/>
      <c r="D345" s="144"/>
      <c r="E345" s="119"/>
      <c r="F345" s="120"/>
      <c r="G345" s="119"/>
      <c r="H345" s="120"/>
      <c r="I345" s="119"/>
      <c r="J345" s="120"/>
      <c r="K345" s="119"/>
      <c r="L345" s="120"/>
      <c r="M345" s="119"/>
      <c r="N345" s="120"/>
      <c r="O345" s="119"/>
      <c r="P345" s="120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customFormat="false" ht="14.25" hidden="false" customHeight="true" outlineLevel="0" collapsed="false">
      <c r="A346" s="141"/>
      <c r="B346" s="142"/>
      <c r="C346" s="143"/>
      <c r="D346" s="144"/>
      <c r="E346" s="119"/>
      <c r="F346" s="120"/>
      <c r="G346" s="119"/>
      <c r="H346" s="120"/>
      <c r="I346" s="119"/>
      <c r="J346" s="120"/>
      <c r="K346" s="119"/>
      <c r="L346" s="120"/>
      <c r="M346" s="119"/>
      <c r="N346" s="120"/>
      <c r="O346" s="119"/>
      <c r="P346" s="120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customFormat="false" ht="14.25" hidden="false" customHeight="true" outlineLevel="0" collapsed="false">
      <c r="A347" s="141"/>
      <c r="B347" s="142"/>
      <c r="C347" s="143"/>
      <c r="D347" s="144"/>
      <c r="E347" s="119"/>
      <c r="F347" s="120"/>
      <c r="G347" s="119"/>
      <c r="H347" s="120"/>
      <c r="I347" s="119"/>
      <c r="J347" s="120"/>
      <c r="K347" s="119"/>
      <c r="L347" s="120"/>
      <c r="M347" s="119"/>
      <c r="N347" s="120"/>
      <c r="O347" s="119"/>
      <c r="P347" s="120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customFormat="false" ht="14.25" hidden="false" customHeight="true" outlineLevel="0" collapsed="false">
      <c r="A348" s="141"/>
      <c r="B348" s="142"/>
      <c r="C348" s="143"/>
      <c r="D348" s="144"/>
      <c r="E348" s="119"/>
      <c r="F348" s="120"/>
      <c r="G348" s="119"/>
      <c r="H348" s="120"/>
      <c r="I348" s="119"/>
      <c r="J348" s="120"/>
      <c r="K348" s="119"/>
      <c r="L348" s="120"/>
      <c r="M348" s="119"/>
      <c r="N348" s="120"/>
      <c r="O348" s="119"/>
      <c r="P348" s="120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customFormat="false" ht="14.25" hidden="false" customHeight="true" outlineLevel="0" collapsed="false">
      <c r="A349" s="141"/>
      <c r="B349" s="142"/>
      <c r="C349" s="143"/>
      <c r="D349" s="144"/>
      <c r="E349" s="119"/>
      <c r="F349" s="120"/>
      <c r="G349" s="119"/>
      <c r="H349" s="120"/>
      <c r="I349" s="119"/>
      <c r="J349" s="120"/>
      <c r="K349" s="119"/>
      <c r="L349" s="120"/>
      <c r="M349" s="119"/>
      <c r="N349" s="120"/>
      <c r="O349" s="119"/>
      <c r="P349" s="120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customFormat="false" ht="14.25" hidden="false" customHeight="true" outlineLevel="0" collapsed="false">
      <c r="A350" s="141"/>
      <c r="B350" s="142"/>
      <c r="C350" s="143"/>
      <c r="D350" s="144"/>
      <c r="E350" s="119"/>
      <c r="F350" s="120"/>
      <c r="G350" s="119"/>
      <c r="H350" s="120"/>
      <c r="I350" s="119"/>
      <c r="J350" s="120"/>
      <c r="K350" s="119"/>
      <c r="L350" s="120"/>
      <c r="M350" s="119"/>
      <c r="N350" s="120"/>
      <c r="O350" s="119"/>
      <c r="P350" s="120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customFormat="false" ht="14.25" hidden="false" customHeight="true" outlineLevel="0" collapsed="false">
      <c r="A351" s="141"/>
      <c r="B351" s="142"/>
      <c r="C351" s="143"/>
      <c r="D351" s="144"/>
      <c r="E351" s="119"/>
      <c r="F351" s="120"/>
      <c r="G351" s="119"/>
      <c r="H351" s="120"/>
      <c r="I351" s="119"/>
      <c r="J351" s="120"/>
      <c r="K351" s="119"/>
      <c r="L351" s="120"/>
      <c r="M351" s="119"/>
      <c r="N351" s="120"/>
      <c r="O351" s="119"/>
      <c r="P351" s="120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customFormat="false" ht="14.25" hidden="false" customHeight="true" outlineLevel="0" collapsed="false">
      <c r="A352" s="141"/>
      <c r="B352" s="142"/>
      <c r="C352" s="143"/>
      <c r="D352" s="144"/>
      <c r="E352" s="119"/>
      <c r="F352" s="120"/>
      <c r="G352" s="119"/>
      <c r="H352" s="120"/>
      <c r="I352" s="119"/>
      <c r="J352" s="120"/>
      <c r="K352" s="119"/>
      <c r="L352" s="120"/>
      <c r="M352" s="119"/>
      <c r="N352" s="120"/>
      <c r="O352" s="119"/>
      <c r="P352" s="120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customFormat="false" ht="14.25" hidden="false" customHeight="true" outlineLevel="0" collapsed="false">
      <c r="A353" s="141"/>
      <c r="B353" s="142"/>
      <c r="C353" s="143"/>
      <c r="D353" s="144"/>
      <c r="E353" s="119"/>
      <c r="F353" s="120"/>
      <c r="G353" s="119"/>
      <c r="H353" s="120"/>
      <c r="I353" s="119"/>
      <c r="J353" s="120"/>
      <c r="K353" s="119"/>
      <c r="L353" s="120"/>
      <c r="M353" s="119"/>
      <c r="N353" s="120"/>
      <c r="O353" s="119"/>
      <c r="P353" s="120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customFormat="false" ht="14.25" hidden="false" customHeight="true" outlineLevel="0" collapsed="false">
      <c r="A354" s="141"/>
      <c r="B354" s="142"/>
      <c r="C354" s="143"/>
      <c r="D354" s="144"/>
      <c r="E354" s="119"/>
      <c r="F354" s="120"/>
      <c r="G354" s="119"/>
      <c r="H354" s="120"/>
      <c r="I354" s="119"/>
      <c r="J354" s="120"/>
      <c r="K354" s="119"/>
      <c r="L354" s="120"/>
      <c r="M354" s="119"/>
      <c r="N354" s="120"/>
      <c r="O354" s="119"/>
      <c r="P354" s="120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customFormat="false" ht="14.25" hidden="false" customHeight="true" outlineLevel="0" collapsed="false">
      <c r="A355" s="141"/>
      <c r="B355" s="142"/>
      <c r="C355" s="143"/>
      <c r="D355" s="144"/>
      <c r="E355" s="119"/>
      <c r="F355" s="120"/>
      <c r="G355" s="119"/>
      <c r="H355" s="120"/>
      <c r="I355" s="119"/>
      <c r="J355" s="120"/>
      <c r="K355" s="119"/>
      <c r="L355" s="120"/>
      <c r="M355" s="119"/>
      <c r="N355" s="120"/>
      <c r="O355" s="119"/>
      <c r="P355" s="120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customFormat="false" ht="14.25" hidden="false" customHeight="true" outlineLevel="0" collapsed="false">
      <c r="A356" s="141"/>
      <c r="B356" s="142"/>
      <c r="C356" s="143"/>
      <c r="D356" s="144"/>
      <c r="E356" s="119"/>
      <c r="F356" s="120"/>
      <c r="G356" s="119"/>
      <c r="H356" s="120"/>
      <c r="I356" s="119"/>
      <c r="J356" s="120"/>
      <c r="K356" s="119"/>
      <c r="L356" s="120"/>
      <c r="M356" s="119"/>
      <c r="N356" s="120"/>
      <c r="O356" s="119"/>
      <c r="P356" s="120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customFormat="false" ht="14.25" hidden="false" customHeight="true" outlineLevel="0" collapsed="false">
      <c r="A357" s="141"/>
      <c r="B357" s="142"/>
      <c r="C357" s="143"/>
      <c r="D357" s="144"/>
      <c r="E357" s="119"/>
      <c r="F357" s="120"/>
      <c r="G357" s="119"/>
      <c r="H357" s="120"/>
      <c r="I357" s="119"/>
      <c r="J357" s="120"/>
      <c r="K357" s="119"/>
      <c r="L357" s="120"/>
      <c r="M357" s="119"/>
      <c r="N357" s="120"/>
      <c r="O357" s="119"/>
      <c r="P357" s="120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customFormat="false" ht="14.25" hidden="false" customHeight="true" outlineLevel="0" collapsed="false">
      <c r="A358" s="141"/>
      <c r="B358" s="142"/>
      <c r="C358" s="143"/>
      <c r="D358" s="144"/>
      <c r="E358" s="119"/>
      <c r="F358" s="120"/>
      <c r="G358" s="119"/>
      <c r="H358" s="120"/>
      <c r="I358" s="119"/>
      <c r="J358" s="120"/>
      <c r="K358" s="119"/>
      <c r="L358" s="120"/>
      <c r="M358" s="119"/>
      <c r="N358" s="120"/>
      <c r="O358" s="119"/>
      <c r="P358" s="120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customFormat="false" ht="14.25" hidden="false" customHeight="true" outlineLevel="0" collapsed="false">
      <c r="A359" s="141"/>
      <c r="B359" s="142"/>
      <c r="C359" s="143"/>
      <c r="D359" s="144"/>
      <c r="E359" s="119"/>
      <c r="F359" s="120"/>
      <c r="G359" s="119"/>
      <c r="H359" s="120"/>
      <c r="I359" s="119"/>
      <c r="J359" s="120"/>
      <c r="K359" s="119"/>
      <c r="L359" s="120"/>
      <c r="M359" s="119"/>
      <c r="N359" s="120"/>
      <c r="O359" s="119"/>
      <c r="P359" s="120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customFormat="false" ht="14.25" hidden="false" customHeight="true" outlineLevel="0" collapsed="false">
      <c r="A360" s="141"/>
      <c r="B360" s="142"/>
      <c r="C360" s="143"/>
      <c r="D360" s="144"/>
      <c r="E360" s="119"/>
      <c r="F360" s="120"/>
      <c r="G360" s="119"/>
      <c r="H360" s="120"/>
      <c r="I360" s="119"/>
      <c r="J360" s="120"/>
      <c r="K360" s="119"/>
      <c r="L360" s="120"/>
      <c r="M360" s="119"/>
      <c r="N360" s="120"/>
      <c r="O360" s="119"/>
      <c r="P360" s="120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customFormat="false" ht="14.25" hidden="false" customHeight="true" outlineLevel="0" collapsed="false">
      <c r="A361" s="141"/>
      <c r="B361" s="142"/>
      <c r="C361" s="143"/>
      <c r="D361" s="144"/>
      <c r="E361" s="119"/>
      <c r="F361" s="120"/>
      <c r="G361" s="119"/>
      <c r="H361" s="120"/>
      <c r="I361" s="119"/>
      <c r="J361" s="120"/>
      <c r="K361" s="119"/>
      <c r="L361" s="120"/>
      <c r="M361" s="119"/>
      <c r="N361" s="120"/>
      <c r="O361" s="119"/>
      <c r="P361" s="120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customFormat="false" ht="14.25" hidden="false" customHeight="true" outlineLevel="0" collapsed="false">
      <c r="A362" s="141"/>
      <c r="B362" s="142"/>
      <c r="C362" s="143"/>
      <c r="D362" s="144"/>
      <c r="E362" s="119"/>
      <c r="F362" s="120"/>
      <c r="G362" s="119"/>
      <c r="H362" s="120"/>
      <c r="I362" s="119"/>
      <c r="J362" s="120"/>
      <c r="K362" s="119"/>
      <c r="L362" s="120"/>
      <c r="M362" s="119"/>
      <c r="N362" s="120"/>
      <c r="O362" s="119"/>
      <c r="P362" s="120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customFormat="false" ht="14.25" hidden="false" customHeight="true" outlineLevel="0" collapsed="false">
      <c r="A363" s="141"/>
      <c r="B363" s="142"/>
      <c r="C363" s="143"/>
      <c r="D363" s="144"/>
      <c r="E363" s="119"/>
      <c r="F363" s="120"/>
      <c r="G363" s="119"/>
      <c r="H363" s="120"/>
      <c r="I363" s="119"/>
      <c r="J363" s="120"/>
      <c r="K363" s="119"/>
      <c r="L363" s="120"/>
      <c r="M363" s="119"/>
      <c r="N363" s="120"/>
      <c r="O363" s="119"/>
      <c r="P363" s="120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customFormat="false" ht="14.25" hidden="false" customHeight="true" outlineLevel="0" collapsed="false">
      <c r="A364" s="141"/>
      <c r="B364" s="142"/>
      <c r="C364" s="143"/>
      <c r="D364" s="144"/>
      <c r="E364" s="119"/>
      <c r="F364" s="120"/>
      <c r="G364" s="119"/>
      <c r="H364" s="120"/>
      <c r="I364" s="119"/>
      <c r="J364" s="120"/>
      <c r="K364" s="119"/>
      <c r="L364" s="120"/>
      <c r="M364" s="119"/>
      <c r="N364" s="120"/>
      <c r="O364" s="119"/>
      <c r="P364" s="120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customFormat="false" ht="14.25" hidden="false" customHeight="true" outlineLevel="0" collapsed="false">
      <c r="A365" s="141"/>
      <c r="B365" s="142"/>
      <c r="C365" s="143"/>
      <c r="D365" s="144"/>
      <c r="E365" s="119"/>
      <c r="F365" s="120"/>
      <c r="G365" s="119"/>
      <c r="H365" s="120"/>
      <c r="I365" s="119"/>
      <c r="J365" s="120"/>
      <c r="K365" s="119"/>
      <c r="L365" s="120"/>
      <c r="M365" s="119"/>
      <c r="N365" s="120"/>
      <c r="O365" s="119"/>
      <c r="P365" s="120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customFormat="false" ht="14.25" hidden="false" customHeight="true" outlineLevel="0" collapsed="false">
      <c r="A366" s="141"/>
      <c r="B366" s="142"/>
      <c r="C366" s="143"/>
      <c r="D366" s="144"/>
      <c r="E366" s="119"/>
      <c r="F366" s="120"/>
      <c r="G366" s="119"/>
      <c r="H366" s="120"/>
      <c r="I366" s="119"/>
      <c r="J366" s="120"/>
      <c r="K366" s="119"/>
      <c r="L366" s="120"/>
      <c r="M366" s="119"/>
      <c r="N366" s="120"/>
      <c r="O366" s="119"/>
      <c r="P366" s="120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customFormat="false" ht="14.25" hidden="false" customHeight="true" outlineLevel="0" collapsed="false">
      <c r="A367" s="141"/>
      <c r="B367" s="142"/>
      <c r="C367" s="143"/>
      <c r="D367" s="144"/>
      <c r="E367" s="119"/>
      <c r="F367" s="120"/>
      <c r="G367" s="119"/>
      <c r="H367" s="120"/>
      <c r="I367" s="119"/>
      <c r="J367" s="120"/>
      <c r="K367" s="119"/>
      <c r="L367" s="120"/>
      <c r="M367" s="119"/>
      <c r="N367" s="120"/>
      <c r="O367" s="119"/>
      <c r="P367" s="120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customFormat="false" ht="14.25" hidden="false" customHeight="true" outlineLevel="0" collapsed="false">
      <c r="A368" s="141"/>
      <c r="B368" s="142"/>
      <c r="C368" s="143"/>
      <c r="D368" s="144"/>
      <c r="E368" s="119"/>
      <c r="F368" s="120"/>
      <c r="G368" s="119"/>
      <c r="H368" s="120"/>
      <c r="I368" s="119"/>
      <c r="J368" s="120"/>
      <c r="K368" s="119"/>
      <c r="L368" s="120"/>
      <c r="M368" s="119"/>
      <c r="N368" s="120"/>
      <c r="O368" s="119"/>
      <c r="P368" s="120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customFormat="false" ht="14.25" hidden="false" customHeight="true" outlineLevel="0" collapsed="false">
      <c r="A369" s="141"/>
      <c r="B369" s="142"/>
      <c r="C369" s="143"/>
      <c r="D369" s="144"/>
      <c r="E369" s="119"/>
      <c r="F369" s="120"/>
      <c r="G369" s="119"/>
      <c r="H369" s="120"/>
      <c r="I369" s="119"/>
      <c r="J369" s="120"/>
      <c r="K369" s="119"/>
      <c r="L369" s="120"/>
      <c r="M369" s="119"/>
      <c r="N369" s="120"/>
      <c r="O369" s="119"/>
      <c r="P369" s="120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customFormat="false" ht="14.25" hidden="false" customHeight="true" outlineLevel="0" collapsed="false">
      <c r="A370" s="141"/>
      <c r="B370" s="142"/>
      <c r="C370" s="143"/>
      <c r="D370" s="144"/>
      <c r="E370" s="119"/>
      <c r="F370" s="120"/>
      <c r="G370" s="119"/>
      <c r="H370" s="120"/>
      <c r="I370" s="119"/>
      <c r="J370" s="120"/>
      <c r="K370" s="119"/>
      <c r="L370" s="120"/>
      <c r="M370" s="119"/>
      <c r="N370" s="120"/>
      <c r="O370" s="119"/>
      <c r="P370" s="120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customFormat="false" ht="14.25" hidden="false" customHeight="true" outlineLevel="0" collapsed="false">
      <c r="A371" s="141"/>
      <c r="B371" s="142"/>
      <c r="C371" s="143"/>
      <c r="D371" s="144"/>
      <c r="E371" s="119"/>
      <c r="F371" s="120"/>
      <c r="G371" s="119"/>
      <c r="H371" s="120"/>
      <c r="I371" s="119"/>
      <c r="J371" s="120"/>
      <c r="K371" s="119"/>
      <c r="L371" s="120"/>
      <c r="M371" s="119"/>
      <c r="N371" s="120"/>
      <c r="O371" s="119"/>
      <c r="P371" s="120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customFormat="false" ht="14.25" hidden="false" customHeight="true" outlineLevel="0" collapsed="false">
      <c r="A372" s="141"/>
      <c r="B372" s="142"/>
      <c r="C372" s="143"/>
      <c r="D372" s="144"/>
      <c r="E372" s="119"/>
      <c r="F372" s="120"/>
      <c r="G372" s="119"/>
      <c r="H372" s="120"/>
      <c r="I372" s="119"/>
      <c r="J372" s="120"/>
      <c r="K372" s="119"/>
      <c r="L372" s="120"/>
      <c r="M372" s="119"/>
      <c r="N372" s="120"/>
      <c r="O372" s="119"/>
      <c r="P372" s="120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customFormat="false" ht="14.25" hidden="false" customHeight="true" outlineLevel="0" collapsed="false">
      <c r="A373" s="141"/>
      <c r="B373" s="142"/>
      <c r="C373" s="143"/>
      <c r="D373" s="144"/>
      <c r="E373" s="119"/>
      <c r="F373" s="120"/>
      <c r="G373" s="119"/>
      <c r="H373" s="120"/>
      <c r="I373" s="119"/>
      <c r="J373" s="120"/>
      <c r="K373" s="119"/>
      <c r="L373" s="120"/>
      <c r="M373" s="119"/>
      <c r="N373" s="120"/>
      <c r="O373" s="119"/>
      <c r="P373" s="120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customFormat="false" ht="14.25" hidden="false" customHeight="true" outlineLevel="0" collapsed="false">
      <c r="A374" s="141"/>
      <c r="B374" s="142"/>
      <c r="C374" s="143"/>
      <c r="D374" s="144"/>
      <c r="E374" s="119"/>
      <c r="F374" s="120"/>
      <c r="G374" s="119"/>
      <c r="H374" s="120"/>
      <c r="I374" s="119"/>
      <c r="J374" s="120"/>
      <c r="K374" s="119"/>
      <c r="L374" s="120"/>
      <c r="M374" s="119"/>
      <c r="N374" s="120"/>
      <c r="O374" s="119"/>
      <c r="P374" s="120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customFormat="false" ht="14.25" hidden="false" customHeight="true" outlineLevel="0" collapsed="false">
      <c r="A375" s="141"/>
      <c r="B375" s="142"/>
      <c r="C375" s="143"/>
      <c r="D375" s="144"/>
      <c r="E375" s="119"/>
      <c r="F375" s="120"/>
      <c r="G375" s="119"/>
      <c r="H375" s="120"/>
      <c r="I375" s="119"/>
      <c r="J375" s="120"/>
      <c r="K375" s="119"/>
      <c r="L375" s="120"/>
      <c r="M375" s="119"/>
      <c r="N375" s="120"/>
      <c r="O375" s="119"/>
      <c r="P375" s="120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customFormat="false" ht="14.25" hidden="false" customHeight="true" outlineLevel="0" collapsed="false">
      <c r="A376" s="141"/>
      <c r="B376" s="142"/>
      <c r="C376" s="143"/>
      <c r="D376" s="144"/>
      <c r="E376" s="119"/>
      <c r="F376" s="120"/>
      <c r="G376" s="119"/>
      <c r="H376" s="120"/>
      <c r="I376" s="119"/>
      <c r="J376" s="120"/>
      <c r="K376" s="119"/>
      <c r="L376" s="120"/>
      <c r="M376" s="119"/>
      <c r="N376" s="120"/>
      <c r="O376" s="119"/>
      <c r="P376" s="120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customFormat="false" ht="14.25" hidden="false" customHeight="true" outlineLevel="0" collapsed="false">
      <c r="A377" s="141"/>
      <c r="B377" s="142"/>
      <c r="C377" s="143"/>
      <c r="D377" s="144"/>
      <c r="E377" s="119"/>
      <c r="F377" s="120"/>
      <c r="G377" s="119"/>
      <c r="H377" s="120"/>
      <c r="I377" s="119"/>
      <c r="J377" s="120"/>
      <c r="K377" s="119"/>
      <c r="L377" s="120"/>
      <c r="M377" s="119"/>
      <c r="N377" s="120"/>
      <c r="O377" s="119"/>
      <c r="P377" s="120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customFormat="false" ht="14.25" hidden="false" customHeight="true" outlineLevel="0" collapsed="false">
      <c r="A378" s="141"/>
      <c r="B378" s="142"/>
      <c r="C378" s="143"/>
      <c r="D378" s="144"/>
      <c r="E378" s="119"/>
      <c r="F378" s="120"/>
      <c r="G378" s="119"/>
      <c r="H378" s="120"/>
      <c r="I378" s="119"/>
      <c r="J378" s="120"/>
      <c r="K378" s="119"/>
      <c r="L378" s="120"/>
      <c r="M378" s="119"/>
      <c r="N378" s="120"/>
      <c r="O378" s="119"/>
      <c r="P378" s="120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customFormat="false" ht="14.25" hidden="false" customHeight="true" outlineLevel="0" collapsed="false">
      <c r="A379" s="141"/>
      <c r="B379" s="142"/>
      <c r="C379" s="143"/>
      <c r="D379" s="144"/>
      <c r="E379" s="119"/>
      <c r="F379" s="120"/>
      <c r="G379" s="119"/>
      <c r="H379" s="120"/>
      <c r="I379" s="119"/>
      <c r="J379" s="120"/>
      <c r="K379" s="119"/>
      <c r="L379" s="120"/>
      <c r="M379" s="119"/>
      <c r="N379" s="120"/>
      <c r="O379" s="119"/>
      <c r="P379" s="120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customFormat="false" ht="14.25" hidden="false" customHeight="true" outlineLevel="0" collapsed="false">
      <c r="A380" s="141"/>
      <c r="B380" s="142"/>
      <c r="C380" s="143"/>
      <c r="D380" s="144"/>
      <c r="E380" s="119"/>
      <c r="F380" s="120"/>
      <c r="G380" s="119"/>
      <c r="H380" s="120"/>
      <c r="I380" s="119"/>
      <c r="J380" s="120"/>
      <c r="K380" s="119"/>
      <c r="L380" s="120"/>
      <c r="M380" s="119"/>
      <c r="N380" s="120"/>
      <c r="O380" s="119"/>
      <c r="P380" s="120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customFormat="false" ht="14.25" hidden="false" customHeight="true" outlineLevel="0" collapsed="false">
      <c r="A381" s="141"/>
      <c r="B381" s="142"/>
      <c r="C381" s="143"/>
      <c r="D381" s="144"/>
      <c r="E381" s="119"/>
      <c r="F381" s="120"/>
      <c r="G381" s="119"/>
      <c r="H381" s="120"/>
      <c r="I381" s="119"/>
      <c r="J381" s="120"/>
      <c r="K381" s="119"/>
      <c r="L381" s="120"/>
      <c r="M381" s="119"/>
      <c r="N381" s="120"/>
      <c r="O381" s="119"/>
      <c r="P381" s="120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customFormat="false" ht="14.25" hidden="false" customHeight="true" outlineLevel="0" collapsed="false">
      <c r="A382" s="141"/>
      <c r="B382" s="142"/>
      <c r="C382" s="143"/>
      <c r="D382" s="144"/>
      <c r="E382" s="119"/>
      <c r="F382" s="120"/>
      <c r="G382" s="119"/>
      <c r="H382" s="120"/>
      <c r="I382" s="119"/>
      <c r="J382" s="120"/>
      <c r="K382" s="119"/>
      <c r="L382" s="120"/>
      <c r="M382" s="119"/>
      <c r="N382" s="120"/>
      <c r="O382" s="119"/>
      <c r="P382" s="120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customFormat="false" ht="14.25" hidden="false" customHeight="true" outlineLevel="0" collapsed="false">
      <c r="A383" s="141"/>
      <c r="B383" s="142"/>
      <c r="C383" s="143"/>
      <c r="D383" s="144"/>
      <c r="E383" s="119"/>
      <c r="F383" s="120"/>
      <c r="G383" s="119"/>
      <c r="H383" s="120"/>
      <c r="I383" s="119"/>
      <c r="J383" s="120"/>
      <c r="K383" s="119"/>
      <c r="L383" s="120"/>
      <c r="M383" s="119"/>
      <c r="N383" s="120"/>
      <c r="O383" s="119"/>
      <c r="P383" s="120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customFormat="false" ht="14.25" hidden="false" customHeight="true" outlineLevel="0" collapsed="false">
      <c r="A384" s="141"/>
      <c r="B384" s="142"/>
      <c r="C384" s="143"/>
      <c r="D384" s="144"/>
      <c r="E384" s="119"/>
      <c r="F384" s="120"/>
      <c r="G384" s="119"/>
      <c r="H384" s="120"/>
      <c r="I384" s="119"/>
      <c r="J384" s="120"/>
      <c r="K384" s="119"/>
      <c r="L384" s="120"/>
      <c r="M384" s="119"/>
      <c r="N384" s="120"/>
      <c r="O384" s="119"/>
      <c r="P384" s="120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customFormat="false" ht="14.25" hidden="false" customHeight="true" outlineLevel="0" collapsed="false">
      <c r="A385" s="141"/>
      <c r="B385" s="142"/>
      <c r="C385" s="143"/>
      <c r="D385" s="144"/>
      <c r="E385" s="119"/>
      <c r="F385" s="120"/>
      <c r="G385" s="119"/>
      <c r="H385" s="120"/>
      <c r="I385" s="119"/>
      <c r="J385" s="120"/>
      <c r="K385" s="119"/>
      <c r="L385" s="120"/>
      <c r="M385" s="119"/>
      <c r="N385" s="120"/>
      <c r="O385" s="119"/>
      <c r="P385" s="120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customFormat="false" ht="14.25" hidden="false" customHeight="true" outlineLevel="0" collapsed="false">
      <c r="A386" s="141"/>
      <c r="B386" s="142"/>
      <c r="C386" s="143"/>
      <c r="D386" s="144"/>
      <c r="E386" s="119"/>
      <c r="F386" s="120"/>
      <c r="G386" s="119"/>
      <c r="H386" s="120"/>
      <c r="I386" s="119"/>
      <c r="J386" s="120"/>
      <c r="K386" s="119"/>
      <c r="L386" s="120"/>
      <c r="M386" s="119"/>
      <c r="N386" s="120"/>
      <c r="O386" s="119"/>
      <c r="P386" s="120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customFormat="false" ht="14.25" hidden="false" customHeight="true" outlineLevel="0" collapsed="false">
      <c r="A387" s="141"/>
      <c r="B387" s="142"/>
      <c r="C387" s="143"/>
      <c r="D387" s="144"/>
      <c r="E387" s="119"/>
      <c r="F387" s="120"/>
      <c r="G387" s="119"/>
      <c r="H387" s="120"/>
      <c r="I387" s="119"/>
      <c r="J387" s="120"/>
      <c r="K387" s="119"/>
      <c r="L387" s="120"/>
      <c r="M387" s="119"/>
      <c r="N387" s="120"/>
      <c r="O387" s="119"/>
      <c r="P387" s="120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customFormat="false" ht="14.25" hidden="false" customHeight="true" outlineLevel="0" collapsed="false">
      <c r="A388" s="141"/>
      <c r="B388" s="142"/>
      <c r="C388" s="143"/>
      <c r="D388" s="144"/>
      <c r="E388" s="119"/>
      <c r="F388" s="120"/>
      <c r="G388" s="119"/>
      <c r="H388" s="120"/>
      <c r="I388" s="119"/>
      <c r="J388" s="120"/>
      <c r="K388" s="119"/>
      <c r="L388" s="120"/>
      <c r="M388" s="119"/>
      <c r="N388" s="120"/>
      <c r="O388" s="119"/>
      <c r="P388" s="120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customFormat="false" ht="14.25" hidden="false" customHeight="true" outlineLevel="0" collapsed="false">
      <c r="A389" s="141"/>
      <c r="B389" s="142"/>
      <c r="C389" s="143"/>
      <c r="D389" s="144"/>
      <c r="E389" s="119"/>
      <c r="F389" s="120"/>
      <c r="G389" s="119"/>
      <c r="H389" s="120"/>
      <c r="I389" s="119"/>
      <c r="J389" s="120"/>
      <c r="K389" s="119"/>
      <c r="L389" s="120"/>
      <c r="M389" s="119"/>
      <c r="N389" s="120"/>
      <c r="O389" s="119"/>
      <c r="P389" s="120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customFormat="false" ht="14.25" hidden="false" customHeight="true" outlineLevel="0" collapsed="false">
      <c r="A390" s="141"/>
      <c r="B390" s="142"/>
      <c r="C390" s="143"/>
      <c r="D390" s="144"/>
      <c r="E390" s="119"/>
      <c r="F390" s="120"/>
      <c r="G390" s="119"/>
      <c r="H390" s="120"/>
      <c r="I390" s="119"/>
      <c r="J390" s="120"/>
      <c r="K390" s="119"/>
      <c r="L390" s="120"/>
      <c r="M390" s="119"/>
      <c r="N390" s="120"/>
      <c r="O390" s="119"/>
      <c r="P390" s="120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customFormat="false" ht="14.25" hidden="false" customHeight="true" outlineLevel="0" collapsed="false">
      <c r="A391" s="141"/>
      <c r="B391" s="142"/>
      <c r="C391" s="143"/>
      <c r="D391" s="144"/>
      <c r="E391" s="119"/>
      <c r="F391" s="120"/>
      <c r="G391" s="119"/>
      <c r="H391" s="120"/>
      <c r="I391" s="119"/>
      <c r="J391" s="120"/>
      <c r="K391" s="119"/>
      <c r="L391" s="120"/>
      <c r="M391" s="119"/>
      <c r="N391" s="120"/>
      <c r="O391" s="119"/>
      <c r="P391" s="120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customFormat="false" ht="14.25" hidden="false" customHeight="true" outlineLevel="0" collapsed="false">
      <c r="A392" s="141"/>
      <c r="B392" s="142"/>
      <c r="C392" s="143"/>
      <c r="D392" s="144"/>
      <c r="E392" s="119"/>
      <c r="F392" s="120"/>
      <c r="G392" s="119"/>
      <c r="H392" s="120"/>
      <c r="I392" s="119"/>
      <c r="J392" s="120"/>
      <c r="K392" s="119"/>
      <c r="L392" s="120"/>
      <c r="M392" s="119"/>
      <c r="N392" s="120"/>
      <c r="O392" s="119"/>
      <c r="P392" s="120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customFormat="false" ht="14.25" hidden="false" customHeight="true" outlineLevel="0" collapsed="false">
      <c r="A393" s="141"/>
      <c r="B393" s="142"/>
      <c r="C393" s="143"/>
      <c r="D393" s="144"/>
      <c r="E393" s="119"/>
      <c r="F393" s="120"/>
      <c r="G393" s="119"/>
      <c r="H393" s="120"/>
      <c r="I393" s="119"/>
      <c r="J393" s="120"/>
      <c r="K393" s="119"/>
      <c r="L393" s="120"/>
      <c r="M393" s="119"/>
      <c r="N393" s="120"/>
      <c r="O393" s="119"/>
      <c r="P393" s="120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customFormat="false" ht="14.25" hidden="false" customHeight="true" outlineLevel="0" collapsed="false">
      <c r="A394" s="141"/>
      <c r="B394" s="142"/>
      <c r="C394" s="143"/>
      <c r="D394" s="144"/>
      <c r="E394" s="119"/>
      <c r="F394" s="120"/>
      <c r="G394" s="119"/>
      <c r="H394" s="120"/>
      <c r="I394" s="119"/>
      <c r="J394" s="120"/>
      <c r="K394" s="119"/>
      <c r="L394" s="120"/>
      <c r="M394" s="119"/>
      <c r="N394" s="120"/>
      <c r="O394" s="119"/>
      <c r="P394" s="120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customFormat="false" ht="14.25" hidden="false" customHeight="true" outlineLevel="0" collapsed="false">
      <c r="A395" s="141"/>
      <c r="B395" s="142"/>
      <c r="C395" s="143"/>
      <c r="D395" s="144"/>
      <c r="E395" s="119"/>
      <c r="F395" s="120"/>
      <c r="G395" s="119"/>
      <c r="H395" s="120"/>
      <c r="I395" s="119"/>
      <c r="J395" s="120"/>
      <c r="K395" s="119"/>
      <c r="L395" s="120"/>
      <c r="M395" s="119"/>
      <c r="N395" s="120"/>
      <c r="O395" s="119"/>
      <c r="P395" s="120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customFormat="false" ht="14.25" hidden="false" customHeight="true" outlineLevel="0" collapsed="false">
      <c r="A396" s="141"/>
      <c r="B396" s="142"/>
      <c r="C396" s="143"/>
      <c r="D396" s="144"/>
      <c r="E396" s="119"/>
      <c r="F396" s="120"/>
      <c r="G396" s="119"/>
      <c r="H396" s="120"/>
      <c r="I396" s="119"/>
      <c r="J396" s="120"/>
      <c r="K396" s="119"/>
      <c r="L396" s="120"/>
      <c r="M396" s="119"/>
      <c r="N396" s="120"/>
      <c r="O396" s="119"/>
      <c r="P396" s="120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customFormat="false" ht="14.25" hidden="false" customHeight="true" outlineLevel="0" collapsed="false">
      <c r="A397" s="141"/>
      <c r="B397" s="142"/>
      <c r="C397" s="143"/>
      <c r="D397" s="144"/>
      <c r="E397" s="119"/>
      <c r="F397" s="120"/>
      <c r="G397" s="119"/>
      <c r="H397" s="120"/>
      <c r="I397" s="119"/>
      <c r="J397" s="120"/>
      <c r="K397" s="119"/>
      <c r="L397" s="120"/>
      <c r="M397" s="119"/>
      <c r="N397" s="120"/>
      <c r="O397" s="119"/>
      <c r="P397" s="120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customFormat="false" ht="14.25" hidden="false" customHeight="true" outlineLevel="0" collapsed="false">
      <c r="A398" s="141"/>
      <c r="B398" s="142"/>
      <c r="C398" s="143"/>
      <c r="D398" s="144"/>
      <c r="E398" s="119"/>
      <c r="F398" s="120"/>
      <c r="G398" s="119"/>
      <c r="H398" s="120"/>
      <c r="I398" s="119"/>
      <c r="J398" s="120"/>
      <c r="K398" s="119"/>
      <c r="L398" s="120"/>
      <c r="M398" s="119"/>
      <c r="N398" s="120"/>
      <c r="O398" s="119"/>
      <c r="P398" s="120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customFormat="false" ht="14.25" hidden="false" customHeight="true" outlineLevel="0" collapsed="false">
      <c r="A399" s="141"/>
      <c r="B399" s="142"/>
      <c r="C399" s="143"/>
      <c r="D399" s="144"/>
      <c r="E399" s="119"/>
      <c r="F399" s="120"/>
      <c r="G399" s="119"/>
      <c r="H399" s="120"/>
      <c r="I399" s="119"/>
      <c r="J399" s="120"/>
      <c r="K399" s="119"/>
      <c r="L399" s="120"/>
      <c r="M399" s="119"/>
      <c r="N399" s="120"/>
      <c r="O399" s="119"/>
      <c r="P399" s="120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customFormat="false" ht="14.25" hidden="false" customHeight="true" outlineLevel="0" collapsed="false">
      <c r="A400" s="141"/>
      <c r="B400" s="142"/>
      <c r="C400" s="143"/>
      <c r="D400" s="144"/>
      <c r="E400" s="119"/>
      <c r="F400" s="120"/>
      <c r="G400" s="119"/>
      <c r="H400" s="120"/>
      <c r="I400" s="119"/>
      <c r="J400" s="120"/>
      <c r="K400" s="119"/>
      <c r="L400" s="120"/>
      <c r="M400" s="119"/>
      <c r="N400" s="120"/>
      <c r="O400" s="119"/>
      <c r="P400" s="120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customFormat="false" ht="14.25" hidden="false" customHeight="true" outlineLevel="0" collapsed="false">
      <c r="A401" s="141"/>
      <c r="B401" s="142"/>
      <c r="C401" s="143"/>
      <c r="D401" s="144"/>
      <c r="E401" s="119"/>
      <c r="F401" s="120"/>
      <c r="G401" s="119"/>
      <c r="H401" s="120"/>
      <c r="I401" s="119"/>
      <c r="J401" s="120"/>
      <c r="K401" s="119"/>
      <c r="L401" s="120"/>
      <c r="M401" s="119"/>
      <c r="N401" s="120"/>
      <c r="O401" s="119"/>
      <c r="P401" s="120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customFormat="false" ht="14.25" hidden="false" customHeight="true" outlineLevel="0" collapsed="false">
      <c r="A402" s="141"/>
      <c r="B402" s="142"/>
      <c r="C402" s="143"/>
      <c r="D402" s="144"/>
      <c r="E402" s="119"/>
      <c r="F402" s="120"/>
      <c r="G402" s="119"/>
      <c r="H402" s="120"/>
      <c r="I402" s="119"/>
      <c r="J402" s="120"/>
      <c r="K402" s="119"/>
      <c r="L402" s="120"/>
      <c r="M402" s="119"/>
      <c r="N402" s="120"/>
      <c r="O402" s="119"/>
      <c r="P402" s="120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customFormat="false" ht="14.25" hidden="false" customHeight="true" outlineLevel="0" collapsed="false">
      <c r="A403" s="141"/>
      <c r="B403" s="142"/>
      <c r="C403" s="143"/>
      <c r="D403" s="144"/>
      <c r="E403" s="119"/>
      <c r="F403" s="120"/>
      <c r="G403" s="119"/>
      <c r="H403" s="120"/>
      <c r="I403" s="119"/>
      <c r="J403" s="120"/>
      <c r="K403" s="119"/>
      <c r="L403" s="120"/>
      <c r="M403" s="119"/>
      <c r="N403" s="120"/>
      <c r="O403" s="119"/>
      <c r="P403" s="120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customFormat="false" ht="14.25" hidden="false" customHeight="true" outlineLevel="0" collapsed="false">
      <c r="A404" s="141"/>
      <c r="B404" s="142"/>
      <c r="C404" s="143"/>
      <c r="D404" s="144"/>
      <c r="E404" s="119"/>
      <c r="F404" s="120"/>
      <c r="G404" s="119"/>
      <c r="H404" s="120"/>
      <c r="I404" s="119"/>
      <c r="J404" s="120"/>
      <c r="K404" s="119"/>
      <c r="L404" s="120"/>
      <c r="M404" s="119"/>
      <c r="N404" s="120"/>
      <c r="O404" s="119"/>
      <c r="P404" s="120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customFormat="false" ht="14.25" hidden="false" customHeight="true" outlineLevel="0" collapsed="false">
      <c r="A405" s="141"/>
      <c r="B405" s="142"/>
      <c r="C405" s="143"/>
      <c r="D405" s="144"/>
      <c r="E405" s="119"/>
      <c r="F405" s="120"/>
      <c r="G405" s="119"/>
      <c r="H405" s="120"/>
      <c r="I405" s="119"/>
      <c r="J405" s="120"/>
      <c r="K405" s="119"/>
      <c r="L405" s="120"/>
      <c r="M405" s="119"/>
      <c r="N405" s="120"/>
      <c r="O405" s="119"/>
      <c r="P405" s="120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customFormat="false" ht="14.25" hidden="false" customHeight="true" outlineLevel="0" collapsed="false">
      <c r="A406" s="141"/>
      <c r="B406" s="142"/>
      <c r="C406" s="143"/>
      <c r="D406" s="144"/>
      <c r="E406" s="119"/>
      <c r="F406" s="120"/>
      <c r="G406" s="119"/>
      <c r="H406" s="120"/>
      <c r="I406" s="119"/>
      <c r="J406" s="120"/>
      <c r="K406" s="119"/>
      <c r="L406" s="120"/>
      <c r="M406" s="119"/>
      <c r="N406" s="120"/>
      <c r="O406" s="119"/>
      <c r="P406" s="120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customFormat="false" ht="14.25" hidden="false" customHeight="true" outlineLevel="0" collapsed="false">
      <c r="A407" s="141"/>
      <c r="B407" s="142"/>
      <c r="C407" s="143"/>
      <c r="D407" s="144"/>
      <c r="E407" s="119"/>
      <c r="F407" s="120"/>
      <c r="G407" s="119"/>
      <c r="H407" s="120"/>
      <c r="I407" s="119"/>
      <c r="J407" s="120"/>
      <c r="K407" s="119"/>
      <c r="L407" s="120"/>
      <c r="M407" s="119"/>
      <c r="N407" s="120"/>
      <c r="O407" s="119"/>
      <c r="P407" s="120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customFormat="false" ht="14.25" hidden="false" customHeight="true" outlineLevel="0" collapsed="false">
      <c r="A408" s="141"/>
      <c r="B408" s="142"/>
      <c r="C408" s="143"/>
      <c r="D408" s="144"/>
      <c r="E408" s="119"/>
      <c r="F408" s="120"/>
      <c r="G408" s="119"/>
      <c r="H408" s="120"/>
      <c r="I408" s="119"/>
      <c r="J408" s="120"/>
      <c r="K408" s="119"/>
      <c r="L408" s="120"/>
      <c r="M408" s="119"/>
      <c r="N408" s="120"/>
      <c r="O408" s="119"/>
      <c r="P408" s="120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customFormat="false" ht="14.25" hidden="false" customHeight="true" outlineLevel="0" collapsed="false">
      <c r="A409" s="141"/>
      <c r="B409" s="142"/>
      <c r="C409" s="143"/>
      <c r="D409" s="144"/>
      <c r="E409" s="119"/>
      <c r="F409" s="120"/>
      <c r="G409" s="119"/>
      <c r="H409" s="120"/>
      <c r="I409" s="119"/>
      <c r="J409" s="120"/>
      <c r="K409" s="119"/>
      <c r="L409" s="120"/>
      <c r="M409" s="119"/>
      <c r="N409" s="120"/>
      <c r="O409" s="119"/>
      <c r="P409" s="120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customFormat="false" ht="14.25" hidden="false" customHeight="true" outlineLevel="0" collapsed="false">
      <c r="A410" s="141"/>
      <c r="B410" s="142"/>
      <c r="C410" s="143"/>
      <c r="D410" s="144"/>
      <c r="E410" s="119"/>
      <c r="F410" s="120"/>
      <c r="G410" s="119"/>
      <c r="H410" s="120"/>
      <c r="I410" s="119"/>
      <c r="J410" s="120"/>
      <c r="K410" s="119"/>
      <c r="L410" s="120"/>
      <c r="M410" s="119"/>
      <c r="N410" s="120"/>
      <c r="O410" s="119"/>
      <c r="P410" s="120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customFormat="false" ht="14.25" hidden="false" customHeight="true" outlineLevel="0" collapsed="false">
      <c r="A411" s="141"/>
      <c r="B411" s="142"/>
      <c r="C411" s="143"/>
      <c r="D411" s="144"/>
      <c r="E411" s="119"/>
      <c r="F411" s="120"/>
      <c r="G411" s="119"/>
      <c r="H411" s="120"/>
      <c r="I411" s="119"/>
      <c r="J411" s="120"/>
      <c r="K411" s="119"/>
      <c r="L411" s="120"/>
      <c r="M411" s="119"/>
      <c r="N411" s="120"/>
      <c r="O411" s="119"/>
      <c r="P411" s="120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customFormat="false" ht="14.25" hidden="false" customHeight="true" outlineLevel="0" collapsed="false">
      <c r="A412" s="141"/>
      <c r="B412" s="142"/>
      <c r="C412" s="143"/>
      <c r="D412" s="144"/>
      <c r="E412" s="119"/>
      <c r="F412" s="120"/>
      <c r="G412" s="119"/>
      <c r="H412" s="120"/>
      <c r="I412" s="119"/>
      <c r="J412" s="120"/>
      <c r="K412" s="119"/>
      <c r="L412" s="120"/>
      <c r="M412" s="119"/>
      <c r="N412" s="120"/>
      <c r="O412" s="119"/>
      <c r="P412" s="120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customFormat="false" ht="14.25" hidden="false" customHeight="true" outlineLevel="0" collapsed="false">
      <c r="A413" s="141"/>
      <c r="B413" s="142"/>
      <c r="C413" s="143"/>
      <c r="D413" s="144"/>
      <c r="E413" s="119"/>
      <c r="F413" s="120"/>
      <c r="G413" s="119"/>
      <c r="H413" s="120"/>
      <c r="I413" s="119"/>
      <c r="J413" s="120"/>
      <c r="K413" s="119"/>
      <c r="L413" s="120"/>
      <c r="M413" s="119"/>
      <c r="N413" s="120"/>
      <c r="O413" s="119"/>
      <c r="P413" s="120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customFormat="false" ht="14.25" hidden="false" customHeight="true" outlineLevel="0" collapsed="false">
      <c r="A414" s="141"/>
      <c r="B414" s="142"/>
      <c r="C414" s="143"/>
      <c r="D414" s="144"/>
      <c r="E414" s="119"/>
      <c r="F414" s="120"/>
      <c r="G414" s="119"/>
      <c r="H414" s="120"/>
      <c r="I414" s="119"/>
      <c r="J414" s="120"/>
      <c r="K414" s="119"/>
      <c r="L414" s="120"/>
      <c r="M414" s="119"/>
      <c r="N414" s="120"/>
      <c r="O414" s="119"/>
      <c r="P414" s="120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customFormat="false" ht="14.25" hidden="false" customHeight="true" outlineLevel="0" collapsed="false">
      <c r="A415" s="141"/>
      <c r="B415" s="142"/>
      <c r="C415" s="143"/>
      <c r="D415" s="144"/>
      <c r="E415" s="119"/>
      <c r="F415" s="120"/>
      <c r="G415" s="119"/>
      <c r="H415" s="120"/>
      <c r="I415" s="119"/>
      <c r="J415" s="120"/>
      <c r="K415" s="119"/>
      <c r="L415" s="120"/>
      <c r="M415" s="119"/>
      <c r="N415" s="120"/>
      <c r="O415" s="119"/>
      <c r="P415" s="120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customFormat="false" ht="14.25" hidden="false" customHeight="true" outlineLevel="0" collapsed="false">
      <c r="A416" s="141"/>
      <c r="B416" s="142"/>
      <c r="C416" s="143"/>
      <c r="D416" s="144"/>
      <c r="E416" s="119"/>
      <c r="F416" s="120"/>
      <c r="G416" s="119"/>
      <c r="H416" s="120"/>
      <c r="I416" s="119"/>
      <c r="J416" s="120"/>
      <c r="K416" s="119"/>
      <c r="L416" s="120"/>
      <c r="M416" s="119"/>
      <c r="N416" s="120"/>
      <c r="O416" s="119"/>
      <c r="P416" s="120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customFormat="false" ht="14.25" hidden="false" customHeight="true" outlineLevel="0" collapsed="false">
      <c r="A417" s="141"/>
      <c r="B417" s="142"/>
      <c r="C417" s="143"/>
      <c r="D417" s="144"/>
      <c r="E417" s="119"/>
      <c r="F417" s="120"/>
      <c r="G417" s="119"/>
      <c r="H417" s="120"/>
      <c r="I417" s="119"/>
      <c r="J417" s="120"/>
      <c r="K417" s="119"/>
      <c r="L417" s="120"/>
      <c r="M417" s="119"/>
      <c r="N417" s="120"/>
      <c r="O417" s="119"/>
      <c r="P417" s="120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customFormat="false" ht="14.25" hidden="false" customHeight="true" outlineLevel="0" collapsed="false">
      <c r="A418" s="141"/>
      <c r="B418" s="142"/>
      <c r="C418" s="143"/>
      <c r="D418" s="144"/>
      <c r="E418" s="119"/>
      <c r="F418" s="120"/>
      <c r="G418" s="119"/>
      <c r="H418" s="120"/>
      <c r="I418" s="119"/>
      <c r="J418" s="120"/>
      <c r="K418" s="119"/>
      <c r="L418" s="120"/>
      <c r="M418" s="119"/>
      <c r="N418" s="120"/>
      <c r="O418" s="119"/>
      <c r="P418" s="120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customFormat="false" ht="14.25" hidden="false" customHeight="true" outlineLevel="0" collapsed="false">
      <c r="A419" s="141"/>
      <c r="B419" s="142"/>
      <c r="C419" s="143"/>
      <c r="D419" s="144"/>
      <c r="E419" s="119"/>
      <c r="F419" s="120"/>
      <c r="G419" s="119"/>
      <c r="H419" s="120"/>
      <c r="I419" s="119"/>
      <c r="J419" s="120"/>
      <c r="K419" s="119"/>
      <c r="L419" s="120"/>
      <c r="M419" s="119"/>
      <c r="N419" s="120"/>
      <c r="O419" s="119"/>
      <c r="P419" s="120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customFormat="false" ht="14.25" hidden="false" customHeight="true" outlineLevel="0" collapsed="false">
      <c r="A420" s="141"/>
      <c r="B420" s="142"/>
      <c r="C420" s="143"/>
      <c r="D420" s="144"/>
      <c r="E420" s="119"/>
      <c r="F420" s="120"/>
      <c r="G420" s="119"/>
      <c r="H420" s="120"/>
      <c r="I420" s="119"/>
      <c r="J420" s="120"/>
      <c r="K420" s="119"/>
      <c r="L420" s="120"/>
      <c r="M420" s="119"/>
      <c r="N420" s="120"/>
      <c r="O420" s="119"/>
      <c r="P420" s="120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customFormat="false" ht="14.25" hidden="false" customHeight="true" outlineLevel="0" collapsed="false">
      <c r="A421" s="141"/>
      <c r="B421" s="142"/>
      <c r="C421" s="143"/>
      <c r="D421" s="144"/>
      <c r="E421" s="119"/>
      <c r="F421" s="120"/>
      <c r="G421" s="119"/>
      <c r="H421" s="120"/>
      <c r="I421" s="119"/>
      <c r="J421" s="120"/>
      <c r="K421" s="119"/>
      <c r="L421" s="120"/>
      <c r="M421" s="119"/>
      <c r="N421" s="120"/>
      <c r="O421" s="119"/>
      <c r="P421" s="120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customFormat="false" ht="14.25" hidden="false" customHeight="true" outlineLevel="0" collapsed="false">
      <c r="A422" s="141"/>
      <c r="B422" s="142"/>
      <c r="C422" s="143"/>
      <c r="D422" s="144"/>
      <c r="E422" s="119"/>
      <c r="F422" s="120"/>
      <c r="G422" s="119"/>
      <c r="H422" s="120"/>
      <c r="I422" s="119"/>
      <c r="J422" s="120"/>
      <c r="K422" s="119"/>
      <c r="L422" s="120"/>
      <c r="M422" s="119"/>
      <c r="N422" s="120"/>
      <c r="O422" s="119"/>
      <c r="P422" s="120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customFormat="false" ht="14.25" hidden="false" customHeight="true" outlineLevel="0" collapsed="false">
      <c r="A423" s="141"/>
      <c r="B423" s="142"/>
      <c r="C423" s="143"/>
      <c r="D423" s="144"/>
      <c r="E423" s="119"/>
      <c r="F423" s="120"/>
      <c r="G423" s="119"/>
      <c r="H423" s="120"/>
      <c r="I423" s="119"/>
      <c r="J423" s="120"/>
      <c r="K423" s="119"/>
      <c r="L423" s="120"/>
      <c r="M423" s="119"/>
      <c r="N423" s="120"/>
      <c r="O423" s="119"/>
      <c r="P423" s="120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customFormat="false" ht="14.25" hidden="false" customHeight="true" outlineLevel="0" collapsed="false">
      <c r="A424" s="141"/>
      <c r="B424" s="142"/>
      <c r="C424" s="143"/>
      <c r="D424" s="144"/>
      <c r="E424" s="119"/>
      <c r="F424" s="120"/>
      <c r="G424" s="119"/>
      <c r="H424" s="120"/>
      <c r="I424" s="119"/>
      <c r="J424" s="120"/>
      <c r="K424" s="119"/>
      <c r="L424" s="120"/>
      <c r="M424" s="119"/>
      <c r="N424" s="120"/>
      <c r="O424" s="119"/>
      <c r="P424" s="120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customFormat="false" ht="14.25" hidden="false" customHeight="true" outlineLevel="0" collapsed="false">
      <c r="A425" s="141"/>
      <c r="B425" s="142"/>
      <c r="C425" s="143"/>
      <c r="D425" s="144"/>
      <c r="E425" s="119"/>
      <c r="F425" s="120"/>
      <c r="G425" s="119"/>
      <c r="H425" s="120"/>
      <c r="I425" s="119"/>
      <c r="J425" s="120"/>
      <c r="K425" s="119"/>
      <c r="L425" s="120"/>
      <c r="M425" s="119"/>
      <c r="N425" s="120"/>
      <c r="O425" s="119"/>
      <c r="P425" s="120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customFormat="false" ht="14.25" hidden="false" customHeight="true" outlineLevel="0" collapsed="false">
      <c r="A426" s="141"/>
      <c r="B426" s="142"/>
      <c r="C426" s="143"/>
      <c r="D426" s="144"/>
      <c r="E426" s="119"/>
      <c r="F426" s="120"/>
      <c r="G426" s="119"/>
      <c r="H426" s="120"/>
      <c r="I426" s="119"/>
      <c r="J426" s="120"/>
      <c r="K426" s="119"/>
      <c r="L426" s="120"/>
      <c r="M426" s="119"/>
      <c r="N426" s="120"/>
      <c r="O426" s="119"/>
      <c r="P426" s="120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customFormat="false" ht="14.25" hidden="false" customHeight="true" outlineLevel="0" collapsed="false">
      <c r="A427" s="141"/>
      <c r="B427" s="142"/>
      <c r="C427" s="143"/>
      <c r="D427" s="144"/>
      <c r="E427" s="119"/>
      <c r="F427" s="120"/>
      <c r="G427" s="119"/>
      <c r="H427" s="120"/>
      <c r="I427" s="119"/>
      <c r="J427" s="120"/>
      <c r="K427" s="119"/>
      <c r="L427" s="120"/>
      <c r="M427" s="119"/>
      <c r="N427" s="120"/>
      <c r="O427" s="119"/>
      <c r="P427" s="120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customFormat="false" ht="14.25" hidden="false" customHeight="true" outlineLevel="0" collapsed="false">
      <c r="A428" s="141"/>
      <c r="B428" s="142"/>
      <c r="C428" s="143"/>
      <c r="D428" s="144"/>
      <c r="E428" s="119"/>
      <c r="F428" s="120"/>
      <c r="G428" s="119"/>
      <c r="H428" s="120"/>
      <c r="I428" s="119"/>
      <c r="J428" s="120"/>
      <c r="K428" s="119"/>
      <c r="L428" s="120"/>
      <c r="M428" s="119"/>
      <c r="N428" s="120"/>
      <c r="O428" s="119"/>
      <c r="P428" s="120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customFormat="false" ht="14.25" hidden="false" customHeight="true" outlineLevel="0" collapsed="false">
      <c r="A429" s="141"/>
      <c r="B429" s="142"/>
      <c r="C429" s="143"/>
      <c r="D429" s="144"/>
      <c r="E429" s="119"/>
      <c r="F429" s="120"/>
      <c r="G429" s="119"/>
      <c r="H429" s="120"/>
      <c r="I429" s="119"/>
      <c r="J429" s="120"/>
      <c r="K429" s="119"/>
      <c r="L429" s="120"/>
      <c r="M429" s="119"/>
      <c r="N429" s="120"/>
      <c r="O429" s="119"/>
      <c r="P429" s="120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customFormat="false" ht="14.25" hidden="false" customHeight="true" outlineLevel="0" collapsed="false">
      <c r="A430" s="141"/>
      <c r="B430" s="142"/>
      <c r="C430" s="143"/>
      <c r="D430" s="144"/>
      <c r="E430" s="119"/>
      <c r="F430" s="120"/>
      <c r="G430" s="119"/>
      <c r="H430" s="120"/>
      <c r="I430" s="119"/>
      <c r="J430" s="120"/>
      <c r="K430" s="119"/>
      <c r="L430" s="120"/>
      <c r="M430" s="119"/>
      <c r="N430" s="120"/>
      <c r="O430" s="119"/>
      <c r="P430" s="120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customFormat="false" ht="14.25" hidden="false" customHeight="true" outlineLevel="0" collapsed="false">
      <c r="A431" s="141"/>
      <c r="B431" s="142"/>
      <c r="C431" s="143"/>
      <c r="D431" s="144"/>
      <c r="E431" s="119"/>
      <c r="F431" s="120"/>
      <c r="G431" s="119"/>
      <c r="H431" s="120"/>
      <c r="I431" s="119"/>
      <c r="J431" s="120"/>
      <c r="K431" s="119"/>
      <c r="L431" s="120"/>
      <c r="M431" s="119"/>
      <c r="N431" s="120"/>
      <c r="O431" s="119"/>
      <c r="P431" s="120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customFormat="false" ht="14.25" hidden="false" customHeight="true" outlineLevel="0" collapsed="false">
      <c r="A432" s="141"/>
      <c r="B432" s="142"/>
      <c r="C432" s="143"/>
      <c r="D432" s="144"/>
      <c r="E432" s="119"/>
      <c r="F432" s="120"/>
      <c r="G432" s="119"/>
      <c r="H432" s="120"/>
      <c r="I432" s="119"/>
      <c r="J432" s="120"/>
      <c r="K432" s="119"/>
      <c r="L432" s="120"/>
      <c r="M432" s="119"/>
      <c r="N432" s="120"/>
      <c r="O432" s="119"/>
      <c r="P432" s="120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customFormat="false" ht="14.25" hidden="false" customHeight="true" outlineLevel="0" collapsed="false">
      <c r="A433" s="141"/>
      <c r="B433" s="142"/>
      <c r="C433" s="143"/>
      <c r="D433" s="144"/>
      <c r="E433" s="119"/>
      <c r="F433" s="120"/>
      <c r="G433" s="119"/>
      <c r="H433" s="120"/>
      <c r="I433" s="119"/>
      <c r="J433" s="120"/>
      <c r="K433" s="119"/>
      <c r="L433" s="120"/>
      <c r="M433" s="119"/>
      <c r="N433" s="120"/>
      <c r="O433" s="119"/>
      <c r="P433" s="120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customFormat="false" ht="14.25" hidden="false" customHeight="true" outlineLevel="0" collapsed="false">
      <c r="A434" s="141"/>
      <c r="B434" s="142"/>
      <c r="C434" s="143"/>
      <c r="D434" s="144"/>
      <c r="E434" s="119"/>
      <c r="F434" s="120"/>
      <c r="G434" s="119"/>
      <c r="H434" s="120"/>
      <c r="I434" s="119"/>
      <c r="J434" s="120"/>
      <c r="K434" s="119"/>
      <c r="L434" s="120"/>
      <c r="M434" s="119"/>
      <c r="N434" s="120"/>
      <c r="O434" s="119"/>
      <c r="P434" s="120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customFormat="false" ht="14.25" hidden="false" customHeight="true" outlineLevel="0" collapsed="false">
      <c r="A435" s="141"/>
      <c r="B435" s="142"/>
      <c r="C435" s="143"/>
      <c r="D435" s="144"/>
      <c r="E435" s="119"/>
      <c r="F435" s="120"/>
      <c r="G435" s="119"/>
      <c r="H435" s="120"/>
      <c r="I435" s="119"/>
      <c r="J435" s="120"/>
      <c r="K435" s="119"/>
      <c r="L435" s="120"/>
      <c r="M435" s="119"/>
      <c r="N435" s="120"/>
      <c r="O435" s="119"/>
      <c r="P435" s="120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customFormat="false" ht="14.25" hidden="false" customHeight="true" outlineLevel="0" collapsed="false">
      <c r="A436" s="141"/>
      <c r="B436" s="142"/>
      <c r="C436" s="143"/>
      <c r="D436" s="144"/>
      <c r="E436" s="119"/>
      <c r="F436" s="120"/>
      <c r="G436" s="119"/>
      <c r="H436" s="120"/>
      <c r="I436" s="119"/>
      <c r="J436" s="120"/>
      <c r="K436" s="119"/>
      <c r="L436" s="120"/>
      <c r="M436" s="119"/>
      <c r="N436" s="120"/>
      <c r="O436" s="119"/>
      <c r="P436" s="120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customFormat="false" ht="14.25" hidden="false" customHeight="true" outlineLevel="0" collapsed="false">
      <c r="A437" s="141"/>
      <c r="B437" s="142"/>
      <c r="C437" s="143"/>
      <c r="D437" s="144"/>
      <c r="E437" s="119"/>
      <c r="F437" s="120"/>
      <c r="G437" s="119"/>
      <c r="H437" s="120"/>
      <c r="I437" s="119"/>
      <c r="J437" s="120"/>
      <c r="K437" s="119"/>
      <c r="L437" s="120"/>
      <c r="M437" s="119"/>
      <c r="N437" s="120"/>
      <c r="O437" s="119"/>
      <c r="P437" s="120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customFormat="false" ht="14.25" hidden="false" customHeight="true" outlineLevel="0" collapsed="false">
      <c r="A438" s="141"/>
      <c r="B438" s="142"/>
      <c r="C438" s="143"/>
      <c r="D438" s="144"/>
      <c r="E438" s="119"/>
      <c r="F438" s="120"/>
      <c r="G438" s="119"/>
      <c r="H438" s="120"/>
      <c r="I438" s="119"/>
      <c r="J438" s="120"/>
      <c r="K438" s="119"/>
      <c r="L438" s="120"/>
      <c r="M438" s="119"/>
      <c r="N438" s="120"/>
      <c r="O438" s="119"/>
      <c r="P438" s="120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customFormat="false" ht="14.25" hidden="false" customHeight="true" outlineLevel="0" collapsed="false">
      <c r="A439" s="141"/>
      <c r="B439" s="142"/>
      <c r="C439" s="143"/>
      <c r="D439" s="144"/>
      <c r="E439" s="119"/>
      <c r="F439" s="120"/>
      <c r="G439" s="119"/>
      <c r="H439" s="120"/>
      <c r="I439" s="119"/>
      <c r="J439" s="120"/>
      <c r="K439" s="119"/>
      <c r="L439" s="120"/>
      <c r="M439" s="119"/>
      <c r="N439" s="120"/>
      <c r="O439" s="119"/>
      <c r="P439" s="120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customFormat="false" ht="14.25" hidden="false" customHeight="true" outlineLevel="0" collapsed="false">
      <c r="A440" s="141"/>
      <c r="B440" s="142"/>
      <c r="C440" s="143"/>
      <c r="D440" s="144"/>
      <c r="E440" s="119"/>
      <c r="F440" s="120"/>
      <c r="G440" s="119"/>
      <c r="H440" s="120"/>
      <c r="I440" s="119"/>
      <c r="J440" s="120"/>
      <c r="K440" s="119"/>
      <c r="L440" s="120"/>
      <c r="M440" s="119"/>
      <c r="N440" s="120"/>
      <c r="O440" s="119"/>
      <c r="P440" s="120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customFormat="false" ht="14.25" hidden="false" customHeight="true" outlineLevel="0" collapsed="false">
      <c r="A441" s="141"/>
      <c r="B441" s="142"/>
      <c r="C441" s="143"/>
      <c r="D441" s="144"/>
      <c r="E441" s="119"/>
      <c r="F441" s="120"/>
      <c r="G441" s="119"/>
      <c r="H441" s="120"/>
      <c r="I441" s="119"/>
      <c r="J441" s="120"/>
      <c r="K441" s="119"/>
      <c r="L441" s="120"/>
      <c r="M441" s="119"/>
      <c r="N441" s="120"/>
      <c r="O441" s="119"/>
      <c r="P441" s="120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customFormat="false" ht="14.25" hidden="false" customHeight="true" outlineLevel="0" collapsed="false">
      <c r="A442" s="141"/>
      <c r="B442" s="142"/>
      <c r="C442" s="143"/>
      <c r="D442" s="144"/>
      <c r="E442" s="119"/>
      <c r="F442" s="120"/>
      <c r="G442" s="119"/>
      <c r="H442" s="120"/>
      <c r="I442" s="119"/>
      <c r="J442" s="120"/>
      <c r="K442" s="119"/>
      <c r="L442" s="120"/>
      <c r="M442" s="119"/>
      <c r="N442" s="120"/>
      <c r="O442" s="119"/>
      <c r="P442" s="120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customFormat="false" ht="14.25" hidden="false" customHeight="true" outlineLevel="0" collapsed="false">
      <c r="A443" s="141"/>
      <c r="B443" s="142"/>
      <c r="C443" s="143"/>
      <c r="D443" s="144"/>
      <c r="E443" s="119"/>
      <c r="F443" s="120"/>
      <c r="G443" s="119"/>
      <c r="H443" s="120"/>
      <c r="I443" s="119"/>
      <c r="J443" s="120"/>
      <c r="K443" s="119"/>
      <c r="L443" s="120"/>
      <c r="M443" s="119"/>
      <c r="N443" s="120"/>
      <c r="O443" s="119"/>
      <c r="P443" s="120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customFormat="false" ht="14.25" hidden="false" customHeight="true" outlineLevel="0" collapsed="false">
      <c r="A444" s="141"/>
      <c r="B444" s="142"/>
      <c r="C444" s="143"/>
      <c r="D444" s="144"/>
      <c r="E444" s="119"/>
      <c r="F444" s="120"/>
      <c r="G444" s="119"/>
      <c r="H444" s="120"/>
      <c r="I444" s="119"/>
      <c r="J444" s="120"/>
      <c r="K444" s="119"/>
      <c r="L444" s="120"/>
      <c r="M444" s="119"/>
      <c r="N444" s="120"/>
      <c r="O444" s="119"/>
      <c r="P444" s="120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customFormat="false" ht="14.25" hidden="false" customHeight="true" outlineLevel="0" collapsed="false">
      <c r="A445" s="141"/>
      <c r="B445" s="142"/>
      <c r="C445" s="143"/>
      <c r="D445" s="144"/>
      <c r="E445" s="119"/>
      <c r="F445" s="120"/>
      <c r="G445" s="119"/>
      <c r="H445" s="120"/>
      <c r="I445" s="119"/>
      <c r="J445" s="120"/>
      <c r="K445" s="119"/>
      <c r="L445" s="120"/>
      <c r="M445" s="119"/>
      <c r="N445" s="120"/>
      <c r="O445" s="119"/>
      <c r="P445" s="120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customFormat="false" ht="14.25" hidden="false" customHeight="true" outlineLevel="0" collapsed="false">
      <c r="A446" s="141"/>
      <c r="B446" s="142"/>
      <c r="C446" s="143"/>
      <c r="D446" s="144"/>
      <c r="E446" s="119"/>
      <c r="F446" s="120"/>
      <c r="G446" s="119"/>
      <c r="H446" s="120"/>
      <c r="I446" s="119"/>
      <c r="J446" s="120"/>
      <c r="K446" s="119"/>
      <c r="L446" s="120"/>
      <c r="M446" s="119"/>
      <c r="N446" s="120"/>
      <c r="O446" s="119"/>
      <c r="P446" s="120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customFormat="false" ht="14.25" hidden="false" customHeight="true" outlineLevel="0" collapsed="false">
      <c r="A447" s="141"/>
      <c r="B447" s="142"/>
      <c r="C447" s="143"/>
      <c r="D447" s="144"/>
      <c r="E447" s="119"/>
      <c r="F447" s="120"/>
      <c r="G447" s="119"/>
      <c r="H447" s="120"/>
      <c r="I447" s="119"/>
      <c r="J447" s="120"/>
      <c r="K447" s="119"/>
      <c r="L447" s="120"/>
      <c r="M447" s="119"/>
      <c r="N447" s="120"/>
      <c r="O447" s="119"/>
      <c r="P447" s="120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customFormat="false" ht="14.25" hidden="false" customHeight="true" outlineLevel="0" collapsed="false">
      <c r="A448" s="141"/>
      <c r="B448" s="142"/>
      <c r="C448" s="143"/>
      <c r="D448" s="144"/>
      <c r="E448" s="119"/>
      <c r="F448" s="120"/>
      <c r="G448" s="119"/>
      <c r="H448" s="120"/>
      <c r="I448" s="119"/>
      <c r="J448" s="120"/>
      <c r="K448" s="119"/>
      <c r="L448" s="120"/>
      <c r="M448" s="119"/>
      <c r="N448" s="120"/>
      <c r="O448" s="119"/>
      <c r="P448" s="120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customFormat="false" ht="14.25" hidden="false" customHeight="true" outlineLevel="0" collapsed="false">
      <c r="A449" s="141"/>
      <c r="B449" s="142"/>
      <c r="C449" s="143"/>
      <c r="D449" s="144"/>
      <c r="E449" s="119"/>
      <c r="F449" s="120"/>
      <c r="G449" s="119"/>
      <c r="H449" s="120"/>
      <c r="I449" s="119"/>
      <c r="J449" s="120"/>
      <c r="K449" s="119"/>
      <c r="L449" s="120"/>
      <c r="M449" s="119"/>
      <c r="N449" s="120"/>
      <c r="O449" s="119"/>
      <c r="P449" s="120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customFormat="false" ht="14.25" hidden="false" customHeight="true" outlineLevel="0" collapsed="false">
      <c r="A450" s="141"/>
      <c r="B450" s="142"/>
      <c r="C450" s="143"/>
      <c r="D450" s="144"/>
      <c r="E450" s="119"/>
      <c r="F450" s="120"/>
      <c r="G450" s="119"/>
      <c r="H450" s="120"/>
      <c r="I450" s="119"/>
      <c r="J450" s="120"/>
      <c r="K450" s="119"/>
      <c r="L450" s="120"/>
      <c r="M450" s="119"/>
      <c r="N450" s="120"/>
      <c r="O450" s="119"/>
      <c r="P450" s="120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customFormat="false" ht="14.25" hidden="false" customHeight="true" outlineLevel="0" collapsed="false">
      <c r="A451" s="141"/>
      <c r="B451" s="142"/>
      <c r="C451" s="143"/>
      <c r="D451" s="144"/>
      <c r="E451" s="119"/>
      <c r="F451" s="120"/>
      <c r="G451" s="119"/>
      <c r="H451" s="120"/>
      <c r="I451" s="119"/>
      <c r="J451" s="120"/>
      <c r="K451" s="119"/>
      <c r="L451" s="120"/>
      <c r="M451" s="119"/>
      <c r="N451" s="120"/>
      <c r="O451" s="119"/>
      <c r="P451" s="120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customFormat="false" ht="14.25" hidden="false" customHeight="true" outlineLevel="0" collapsed="false">
      <c r="A452" s="141"/>
      <c r="B452" s="142"/>
      <c r="C452" s="143"/>
      <c r="D452" s="144"/>
      <c r="E452" s="119"/>
      <c r="F452" s="120"/>
      <c r="G452" s="119"/>
      <c r="H452" s="120"/>
      <c r="I452" s="119"/>
      <c r="J452" s="120"/>
      <c r="K452" s="119"/>
      <c r="L452" s="120"/>
      <c r="M452" s="119"/>
      <c r="N452" s="120"/>
      <c r="O452" s="119"/>
      <c r="P452" s="120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customFormat="false" ht="14.25" hidden="false" customHeight="true" outlineLevel="0" collapsed="false">
      <c r="A453" s="141"/>
      <c r="B453" s="142"/>
      <c r="C453" s="143"/>
      <c r="D453" s="144"/>
      <c r="E453" s="119"/>
      <c r="F453" s="120"/>
      <c r="G453" s="119"/>
      <c r="H453" s="120"/>
      <c r="I453" s="119"/>
      <c r="J453" s="120"/>
      <c r="K453" s="119"/>
      <c r="L453" s="120"/>
      <c r="M453" s="119"/>
      <c r="N453" s="120"/>
      <c r="O453" s="119"/>
      <c r="P453" s="120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customFormat="false" ht="14.25" hidden="false" customHeight="true" outlineLevel="0" collapsed="false">
      <c r="A454" s="141"/>
      <c r="B454" s="142"/>
      <c r="C454" s="143"/>
      <c r="D454" s="144"/>
      <c r="E454" s="119"/>
      <c r="F454" s="120"/>
      <c r="G454" s="119"/>
      <c r="H454" s="120"/>
      <c r="I454" s="119"/>
      <c r="J454" s="120"/>
      <c r="K454" s="119"/>
      <c r="L454" s="120"/>
      <c r="M454" s="119"/>
      <c r="N454" s="120"/>
      <c r="O454" s="119"/>
      <c r="P454" s="120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customFormat="false" ht="14.25" hidden="false" customHeight="true" outlineLevel="0" collapsed="false">
      <c r="A455" s="141"/>
      <c r="B455" s="142"/>
      <c r="C455" s="143"/>
      <c r="D455" s="144"/>
      <c r="E455" s="119"/>
      <c r="F455" s="120"/>
      <c r="G455" s="119"/>
      <c r="H455" s="120"/>
      <c r="I455" s="119"/>
      <c r="J455" s="120"/>
      <c r="K455" s="119"/>
      <c r="L455" s="120"/>
      <c r="M455" s="119"/>
      <c r="N455" s="120"/>
      <c r="O455" s="119"/>
      <c r="P455" s="120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customFormat="false" ht="14.25" hidden="false" customHeight="true" outlineLevel="0" collapsed="false">
      <c r="A456" s="141"/>
      <c r="B456" s="142"/>
      <c r="C456" s="143"/>
      <c r="D456" s="144"/>
      <c r="E456" s="119"/>
      <c r="F456" s="120"/>
      <c r="G456" s="119"/>
      <c r="H456" s="120"/>
      <c r="I456" s="119"/>
      <c r="J456" s="120"/>
      <c r="K456" s="119"/>
      <c r="L456" s="120"/>
      <c r="M456" s="119"/>
      <c r="N456" s="120"/>
      <c r="O456" s="119"/>
      <c r="P456" s="120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customFormat="false" ht="14.25" hidden="false" customHeight="true" outlineLevel="0" collapsed="false">
      <c r="A457" s="141"/>
      <c r="B457" s="142"/>
      <c r="C457" s="143"/>
      <c r="D457" s="144"/>
      <c r="E457" s="119"/>
      <c r="F457" s="120"/>
      <c r="G457" s="119"/>
      <c r="H457" s="120"/>
      <c r="I457" s="119"/>
      <c r="J457" s="120"/>
      <c r="K457" s="119"/>
      <c r="L457" s="120"/>
      <c r="M457" s="119"/>
      <c r="N457" s="120"/>
      <c r="O457" s="119"/>
      <c r="P457" s="120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customFormat="false" ht="14.25" hidden="false" customHeight="true" outlineLevel="0" collapsed="false">
      <c r="A458" s="141"/>
      <c r="B458" s="142"/>
      <c r="C458" s="143"/>
      <c r="D458" s="144"/>
      <c r="E458" s="119"/>
      <c r="F458" s="120"/>
      <c r="G458" s="119"/>
      <c r="H458" s="120"/>
      <c r="I458" s="119"/>
      <c r="J458" s="120"/>
      <c r="K458" s="119"/>
      <c r="L458" s="120"/>
      <c r="M458" s="119"/>
      <c r="N458" s="120"/>
      <c r="O458" s="119"/>
      <c r="P458" s="120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customFormat="false" ht="14.25" hidden="false" customHeight="true" outlineLevel="0" collapsed="false">
      <c r="A459" s="141"/>
      <c r="B459" s="142"/>
      <c r="C459" s="143"/>
      <c r="D459" s="144"/>
      <c r="E459" s="119"/>
      <c r="F459" s="120"/>
      <c r="G459" s="119"/>
      <c r="H459" s="120"/>
      <c r="I459" s="119"/>
      <c r="J459" s="120"/>
      <c r="K459" s="119"/>
      <c r="L459" s="120"/>
      <c r="M459" s="119"/>
      <c r="N459" s="120"/>
      <c r="O459" s="119"/>
      <c r="P459" s="120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customFormat="false" ht="14.25" hidden="false" customHeight="true" outlineLevel="0" collapsed="false">
      <c r="A460" s="141"/>
      <c r="B460" s="142"/>
      <c r="C460" s="143"/>
      <c r="D460" s="144"/>
      <c r="E460" s="119"/>
      <c r="F460" s="120"/>
      <c r="G460" s="119"/>
      <c r="H460" s="120"/>
      <c r="I460" s="119"/>
      <c r="J460" s="120"/>
      <c r="K460" s="119"/>
      <c r="L460" s="120"/>
      <c r="M460" s="119"/>
      <c r="N460" s="120"/>
      <c r="O460" s="119"/>
      <c r="P460" s="120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customFormat="false" ht="14.25" hidden="false" customHeight="true" outlineLevel="0" collapsed="false">
      <c r="A461" s="141"/>
      <c r="B461" s="142"/>
      <c r="C461" s="143"/>
      <c r="D461" s="144"/>
      <c r="E461" s="119"/>
      <c r="F461" s="120"/>
      <c r="G461" s="119"/>
      <c r="H461" s="120"/>
      <c r="I461" s="119"/>
      <c r="J461" s="120"/>
      <c r="K461" s="119"/>
      <c r="L461" s="120"/>
      <c r="M461" s="119"/>
      <c r="N461" s="120"/>
      <c r="O461" s="119"/>
      <c r="P461" s="120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customFormat="false" ht="14.25" hidden="false" customHeight="true" outlineLevel="0" collapsed="false">
      <c r="A462" s="141"/>
      <c r="B462" s="142"/>
      <c r="C462" s="143"/>
      <c r="D462" s="144"/>
      <c r="E462" s="119"/>
      <c r="F462" s="120"/>
      <c r="G462" s="119"/>
      <c r="H462" s="120"/>
      <c r="I462" s="119"/>
      <c r="J462" s="120"/>
      <c r="K462" s="119"/>
      <c r="L462" s="120"/>
      <c r="M462" s="119"/>
      <c r="N462" s="120"/>
      <c r="O462" s="119"/>
      <c r="P462" s="120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customFormat="false" ht="14.25" hidden="false" customHeight="true" outlineLevel="0" collapsed="false">
      <c r="A463" s="141"/>
      <c r="B463" s="142"/>
      <c r="C463" s="143"/>
      <c r="D463" s="144"/>
      <c r="E463" s="119"/>
      <c r="F463" s="120"/>
      <c r="G463" s="119"/>
      <c r="H463" s="120"/>
      <c r="I463" s="119"/>
      <c r="J463" s="120"/>
      <c r="K463" s="119"/>
      <c r="L463" s="120"/>
      <c r="M463" s="119"/>
      <c r="N463" s="120"/>
      <c r="O463" s="119"/>
      <c r="P463" s="120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customFormat="false" ht="14.25" hidden="false" customHeight="true" outlineLevel="0" collapsed="false">
      <c r="A464" s="141"/>
      <c r="B464" s="142"/>
      <c r="C464" s="143"/>
      <c r="D464" s="144"/>
      <c r="E464" s="119"/>
      <c r="F464" s="120"/>
      <c r="G464" s="119"/>
      <c r="H464" s="120"/>
      <c r="I464" s="119"/>
      <c r="J464" s="120"/>
      <c r="K464" s="119"/>
      <c r="L464" s="120"/>
      <c r="M464" s="119"/>
      <c r="N464" s="120"/>
      <c r="O464" s="119"/>
      <c r="P464" s="120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customFormat="false" ht="14.25" hidden="false" customHeight="true" outlineLevel="0" collapsed="false">
      <c r="A465" s="141"/>
      <c r="B465" s="142"/>
      <c r="C465" s="143"/>
      <c r="D465" s="144"/>
      <c r="E465" s="119"/>
      <c r="F465" s="120"/>
      <c r="G465" s="119"/>
      <c r="H465" s="120"/>
      <c r="I465" s="119"/>
      <c r="J465" s="120"/>
      <c r="K465" s="119"/>
      <c r="L465" s="120"/>
      <c r="M465" s="119"/>
      <c r="N465" s="120"/>
      <c r="O465" s="119"/>
      <c r="P465" s="120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customFormat="false" ht="14.25" hidden="false" customHeight="true" outlineLevel="0" collapsed="false">
      <c r="A466" s="141"/>
      <c r="B466" s="142"/>
      <c r="C466" s="143"/>
      <c r="D466" s="144"/>
      <c r="E466" s="119"/>
      <c r="F466" s="120"/>
      <c r="G466" s="119"/>
      <c r="H466" s="120"/>
      <c r="I466" s="119"/>
      <c r="J466" s="120"/>
      <c r="K466" s="119"/>
      <c r="L466" s="120"/>
      <c r="M466" s="119"/>
      <c r="N466" s="120"/>
      <c r="O466" s="119"/>
      <c r="P466" s="120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customFormat="false" ht="14.25" hidden="false" customHeight="true" outlineLevel="0" collapsed="false">
      <c r="A467" s="141"/>
      <c r="B467" s="142"/>
      <c r="C467" s="143"/>
      <c r="D467" s="144"/>
      <c r="E467" s="119"/>
      <c r="F467" s="120"/>
      <c r="G467" s="119"/>
      <c r="H467" s="120"/>
      <c r="I467" s="119"/>
      <c r="J467" s="120"/>
      <c r="K467" s="119"/>
      <c r="L467" s="120"/>
      <c r="M467" s="119"/>
      <c r="N467" s="120"/>
      <c r="O467" s="119"/>
      <c r="P467" s="120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customFormat="false" ht="14.25" hidden="false" customHeight="true" outlineLevel="0" collapsed="false">
      <c r="A468" s="141"/>
      <c r="B468" s="142"/>
      <c r="C468" s="143"/>
      <c r="D468" s="144"/>
      <c r="E468" s="119"/>
      <c r="F468" s="120"/>
      <c r="G468" s="119"/>
      <c r="H468" s="120"/>
      <c r="I468" s="119"/>
      <c r="J468" s="120"/>
      <c r="K468" s="119"/>
      <c r="L468" s="120"/>
      <c r="M468" s="119"/>
      <c r="N468" s="120"/>
      <c r="O468" s="119"/>
      <c r="P468" s="120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customFormat="false" ht="14.25" hidden="false" customHeight="true" outlineLevel="0" collapsed="false">
      <c r="A469" s="141"/>
      <c r="B469" s="142"/>
      <c r="C469" s="143"/>
      <c r="D469" s="144"/>
      <c r="E469" s="119"/>
      <c r="F469" s="120"/>
      <c r="G469" s="119"/>
      <c r="H469" s="120"/>
      <c r="I469" s="119"/>
      <c r="J469" s="120"/>
      <c r="K469" s="119"/>
      <c r="L469" s="120"/>
      <c r="M469" s="119"/>
      <c r="N469" s="120"/>
      <c r="O469" s="119"/>
      <c r="P469" s="120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customFormat="false" ht="14.25" hidden="false" customHeight="true" outlineLevel="0" collapsed="false">
      <c r="A470" s="141"/>
      <c r="B470" s="142"/>
      <c r="C470" s="143"/>
      <c r="D470" s="144"/>
      <c r="E470" s="119"/>
      <c r="F470" s="120"/>
      <c r="G470" s="119"/>
      <c r="H470" s="120"/>
      <c r="I470" s="119"/>
      <c r="J470" s="120"/>
      <c r="K470" s="119"/>
      <c r="L470" s="120"/>
      <c r="M470" s="119"/>
      <c r="N470" s="120"/>
      <c r="O470" s="119"/>
      <c r="P470" s="120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customFormat="false" ht="14.25" hidden="false" customHeight="true" outlineLevel="0" collapsed="false">
      <c r="A471" s="141"/>
      <c r="B471" s="142"/>
      <c r="C471" s="143"/>
      <c r="D471" s="144"/>
      <c r="E471" s="119"/>
      <c r="F471" s="120"/>
      <c r="G471" s="119"/>
      <c r="H471" s="120"/>
      <c r="I471" s="119"/>
      <c r="J471" s="120"/>
      <c r="K471" s="119"/>
      <c r="L471" s="120"/>
      <c r="M471" s="119"/>
      <c r="N471" s="120"/>
      <c r="O471" s="119"/>
      <c r="P471" s="120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customFormat="false" ht="14.25" hidden="false" customHeight="true" outlineLevel="0" collapsed="false">
      <c r="A472" s="141"/>
      <c r="B472" s="142"/>
      <c r="C472" s="143"/>
      <c r="D472" s="144"/>
      <c r="E472" s="119"/>
      <c r="F472" s="120"/>
      <c r="G472" s="119"/>
      <c r="H472" s="120"/>
      <c r="I472" s="119"/>
      <c r="J472" s="120"/>
      <c r="K472" s="119"/>
      <c r="L472" s="120"/>
      <c r="M472" s="119"/>
      <c r="N472" s="120"/>
      <c r="O472" s="119"/>
      <c r="P472" s="120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customFormat="false" ht="14.25" hidden="false" customHeight="true" outlineLevel="0" collapsed="false">
      <c r="A473" s="141"/>
      <c r="B473" s="142"/>
      <c r="C473" s="143"/>
      <c r="D473" s="144"/>
      <c r="E473" s="119"/>
      <c r="F473" s="120"/>
      <c r="G473" s="119"/>
      <c r="H473" s="120"/>
      <c r="I473" s="119"/>
      <c r="J473" s="120"/>
      <c r="K473" s="119"/>
      <c r="L473" s="120"/>
      <c r="M473" s="119"/>
      <c r="N473" s="120"/>
      <c r="O473" s="119"/>
      <c r="P473" s="120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customFormat="false" ht="14.25" hidden="false" customHeight="true" outlineLevel="0" collapsed="false">
      <c r="A474" s="141"/>
      <c r="B474" s="142"/>
      <c r="C474" s="143"/>
      <c r="D474" s="144"/>
      <c r="E474" s="119"/>
      <c r="F474" s="120"/>
      <c r="G474" s="119"/>
      <c r="H474" s="120"/>
      <c r="I474" s="119"/>
      <c r="J474" s="120"/>
      <c r="K474" s="119"/>
      <c r="L474" s="120"/>
      <c r="M474" s="119"/>
      <c r="N474" s="120"/>
      <c r="O474" s="119"/>
      <c r="P474" s="120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customFormat="false" ht="14.25" hidden="false" customHeight="true" outlineLevel="0" collapsed="false">
      <c r="A475" s="141"/>
      <c r="B475" s="142"/>
      <c r="C475" s="143"/>
      <c r="D475" s="144"/>
      <c r="E475" s="119"/>
      <c r="F475" s="120"/>
      <c r="G475" s="119"/>
      <c r="H475" s="120"/>
      <c r="I475" s="119"/>
      <c r="J475" s="120"/>
      <c r="K475" s="119"/>
      <c r="L475" s="120"/>
      <c r="M475" s="119"/>
      <c r="N475" s="120"/>
      <c r="O475" s="119"/>
      <c r="P475" s="120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customFormat="false" ht="14.25" hidden="false" customHeight="true" outlineLevel="0" collapsed="false">
      <c r="A476" s="141"/>
      <c r="B476" s="142"/>
      <c r="C476" s="143"/>
      <c r="D476" s="144"/>
      <c r="E476" s="119"/>
      <c r="F476" s="120"/>
      <c r="G476" s="119"/>
      <c r="H476" s="120"/>
      <c r="I476" s="119"/>
      <c r="J476" s="120"/>
      <c r="K476" s="119"/>
      <c r="L476" s="120"/>
      <c r="M476" s="119"/>
      <c r="N476" s="120"/>
      <c r="O476" s="119"/>
      <c r="P476" s="120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customFormat="false" ht="14.25" hidden="false" customHeight="true" outlineLevel="0" collapsed="false">
      <c r="A477" s="141"/>
      <c r="B477" s="142"/>
      <c r="C477" s="143"/>
      <c r="D477" s="144"/>
      <c r="E477" s="119"/>
      <c r="F477" s="120"/>
      <c r="G477" s="119"/>
      <c r="H477" s="120"/>
      <c r="I477" s="119"/>
      <c r="J477" s="120"/>
      <c r="K477" s="119"/>
      <c r="L477" s="120"/>
      <c r="M477" s="119"/>
      <c r="N477" s="120"/>
      <c r="O477" s="119"/>
      <c r="P477" s="120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customFormat="false" ht="14.25" hidden="false" customHeight="true" outlineLevel="0" collapsed="false">
      <c r="A478" s="141"/>
      <c r="B478" s="142"/>
      <c r="C478" s="143"/>
      <c r="D478" s="144"/>
      <c r="E478" s="119"/>
      <c r="F478" s="120"/>
      <c r="G478" s="119"/>
      <c r="H478" s="120"/>
      <c r="I478" s="119"/>
      <c r="J478" s="120"/>
      <c r="K478" s="119"/>
      <c r="L478" s="120"/>
      <c r="M478" s="119"/>
      <c r="N478" s="120"/>
      <c r="O478" s="119"/>
      <c r="P478" s="120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customFormat="false" ht="14.25" hidden="false" customHeight="true" outlineLevel="0" collapsed="false">
      <c r="A479" s="141"/>
      <c r="B479" s="142"/>
      <c r="C479" s="143"/>
      <c r="D479" s="144"/>
      <c r="E479" s="119"/>
      <c r="F479" s="120"/>
      <c r="G479" s="119"/>
      <c r="H479" s="120"/>
      <c r="I479" s="119"/>
      <c r="J479" s="120"/>
      <c r="K479" s="119"/>
      <c r="L479" s="120"/>
      <c r="M479" s="119"/>
      <c r="N479" s="120"/>
      <c r="O479" s="119"/>
      <c r="P479" s="120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customFormat="false" ht="14.25" hidden="false" customHeight="true" outlineLevel="0" collapsed="false">
      <c r="A480" s="141"/>
      <c r="B480" s="142"/>
      <c r="C480" s="143"/>
      <c r="D480" s="144"/>
      <c r="E480" s="119"/>
      <c r="F480" s="120"/>
      <c r="G480" s="119"/>
      <c r="H480" s="120"/>
      <c r="I480" s="119"/>
      <c r="J480" s="120"/>
      <c r="K480" s="119"/>
      <c r="L480" s="120"/>
      <c r="M480" s="119"/>
      <c r="N480" s="120"/>
      <c r="O480" s="119"/>
      <c r="P480" s="120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customFormat="false" ht="14.25" hidden="false" customHeight="true" outlineLevel="0" collapsed="false">
      <c r="A481" s="141"/>
      <c r="B481" s="142"/>
      <c r="C481" s="143"/>
      <c r="D481" s="144"/>
      <c r="E481" s="119"/>
      <c r="F481" s="120"/>
      <c r="G481" s="119"/>
      <c r="H481" s="120"/>
      <c r="I481" s="119"/>
      <c r="J481" s="120"/>
      <c r="K481" s="119"/>
      <c r="L481" s="120"/>
      <c r="M481" s="119"/>
      <c r="N481" s="120"/>
      <c r="O481" s="119"/>
      <c r="P481" s="120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customFormat="false" ht="14.25" hidden="false" customHeight="true" outlineLevel="0" collapsed="false">
      <c r="A482" s="141"/>
      <c r="B482" s="142"/>
      <c r="C482" s="143"/>
      <c r="D482" s="144"/>
      <c r="E482" s="119"/>
      <c r="F482" s="120"/>
      <c r="G482" s="119"/>
      <c r="H482" s="120"/>
      <c r="I482" s="119"/>
      <c r="J482" s="120"/>
      <c r="K482" s="119"/>
      <c r="L482" s="120"/>
      <c r="M482" s="119"/>
      <c r="N482" s="120"/>
      <c r="O482" s="119"/>
      <c r="P482" s="120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customFormat="false" ht="14.25" hidden="false" customHeight="true" outlineLevel="0" collapsed="false">
      <c r="A483" s="141"/>
      <c r="B483" s="142"/>
      <c r="C483" s="143"/>
      <c r="D483" s="144"/>
      <c r="E483" s="119"/>
      <c r="F483" s="120"/>
      <c r="G483" s="119"/>
      <c r="H483" s="120"/>
      <c r="I483" s="119"/>
      <c r="J483" s="120"/>
      <c r="K483" s="119"/>
      <c r="L483" s="120"/>
      <c r="M483" s="119"/>
      <c r="N483" s="120"/>
      <c r="O483" s="119"/>
      <c r="P483" s="120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customFormat="false" ht="14.25" hidden="false" customHeight="true" outlineLevel="0" collapsed="false">
      <c r="A484" s="141"/>
      <c r="B484" s="142"/>
      <c r="C484" s="143"/>
      <c r="D484" s="144"/>
      <c r="E484" s="119"/>
      <c r="F484" s="120"/>
      <c r="G484" s="119"/>
      <c r="H484" s="120"/>
      <c r="I484" s="119"/>
      <c r="J484" s="120"/>
      <c r="K484" s="119"/>
      <c r="L484" s="120"/>
      <c r="M484" s="119"/>
      <c r="N484" s="120"/>
      <c r="O484" s="119"/>
      <c r="P484" s="120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customFormat="false" ht="14.25" hidden="false" customHeight="true" outlineLevel="0" collapsed="false">
      <c r="A485" s="141"/>
      <c r="B485" s="142"/>
      <c r="C485" s="143"/>
      <c r="D485" s="144"/>
      <c r="E485" s="119"/>
      <c r="F485" s="120"/>
      <c r="G485" s="119"/>
      <c r="H485" s="120"/>
      <c r="I485" s="119"/>
      <c r="J485" s="120"/>
      <c r="K485" s="119"/>
      <c r="L485" s="120"/>
      <c r="M485" s="119"/>
      <c r="N485" s="120"/>
      <c r="O485" s="119"/>
      <c r="P485" s="120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customFormat="false" ht="14.25" hidden="false" customHeight="true" outlineLevel="0" collapsed="false">
      <c r="A486" s="141"/>
      <c r="B486" s="142"/>
      <c r="C486" s="143"/>
      <c r="D486" s="144"/>
      <c r="E486" s="119"/>
      <c r="F486" s="120"/>
      <c r="G486" s="119"/>
      <c r="H486" s="120"/>
      <c r="I486" s="119"/>
      <c r="J486" s="120"/>
      <c r="K486" s="119"/>
      <c r="L486" s="120"/>
      <c r="M486" s="119"/>
      <c r="N486" s="120"/>
      <c r="O486" s="119"/>
      <c r="P486" s="120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customFormat="false" ht="14.25" hidden="false" customHeight="true" outlineLevel="0" collapsed="false">
      <c r="A487" s="141"/>
      <c r="B487" s="142"/>
      <c r="C487" s="143"/>
      <c r="D487" s="144"/>
      <c r="E487" s="119"/>
      <c r="F487" s="120"/>
      <c r="G487" s="119"/>
      <c r="H487" s="120"/>
      <c r="I487" s="119"/>
      <c r="J487" s="120"/>
      <c r="K487" s="119"/>
      <c r="L487" s="120"/>
      <c r="M487" s="119"/>
      <c r="N487" s="120"/>
      <c r="O487" s="119"/>
      <c r="P487" s="120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customFormat="false" ht="14.25" hidden="false" customHeight="true" outlineLevel="0" collapsed="false">
      <c r="A488" s="141"/>
      <c r="B488" s="142"/>
      <c r="C488" s="143"/>
      <c r="D488" s="144"/>
      <c r="E488" s="119"/>
      <c r="F488" s="120"/>
      <c r="G488" s="119"/>
      <c r="H488" s="120"/>
      <c r="I488" s="119"/>
      <c r="J488" s="120"/>
      <c r="K488" s="119"/>
      <c r="L488" s="120"/>
      <c r="M488" s="119"/>
      <c r="N488" s="120"/>
      <c r="O488" s="119"/>
      <c r="P488" s="120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customFormat="false" ht="14.25" hidden="false" customHeight="true" outlineLevel="0" collapsed="false">
      <c r="A489" s="141"/>
      <c r="B489" s="142"/>
      <c r="C489" s="143"/>
      <c r="D489" s="144"/>
      <c r="E489" s="119"/>
      <c r="F489" s="120"/>
      <c r="G489" s="119"/>
      <c r="H489" s="120"/>
      <c r="I489" s="119"/>
      <c r="J489" s="120"/>
      <c r="K489" s="119"/>
      <c r="L489" s="120"/>
      <c r="M489" s="119"/>
      <c r="N489" s="120"/>
      <c r="O489" s="119"/>
      <c r="P489" s="120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customFormat="false" ht="14.25" hidden="false" customHeight="true" outlineLevel="0" collapsed="false">
      <c r="A490" s="141"/>
      <c r="B490" s="142"/>
      <c r="C490" s="143"/>
      <c r="D490" s="144"/>
      <c r="E490" s="119"/>
      <c r="F490" s="120"/>
      <c r="G490" s="119"/>
      <c r="H490" s="120"/>
      <c r="I490" s="119"/>
      <c r="J490" s="120"/>
      <c r="K490" s="119"/>
      <c r="L490" s="120"/>
      <c r="M490" s="119"/>
      <c r="N490" s="120"/>
      <c r="O490" s="119"/>
      <c r="P490" s="120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customFormat="false" ht="14.25" hidden="false" customHeight="true" outlineLevel="0" collapsed="false">
      <c r="A491" s="141"/>
      <c r="B491" s="142"/>
      <c r="C491" s="143"/>
      <c r="D491" s="144"/>
      <c r="E491" s="119"/>
      <c r="F491" s="120"/>
      <c r="G491" s="119"/>
      <c r="H491" s="120"/>
      <c r="I491" s="119"/>
      <c r="J491" s="120"/>
      <c r="K491" s="119"/>
      <c r="L491" s="120"/>
      <c r="M491" s="119"/>
      <c r="N491" s="120"/>
      <c r="O491" s="119"/>
      <c r="P491" s="120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customFormat="false" ht="14.25" hidden="false" customHeight="true" outlineLevel="0" collapsed="false">
      <c r="A492" s="141"/>
      <c r="B492" s="142"/>
      <c r="C492" s="143"/>
      <c r="D492" s="144"/>
      <c r="E492" s="119"/>
      <c r="F492" s="120"/>
      <c r="G492" s="119"/>
      <c r="H492" s="120"/>
      <c r="I492" s="119"/>
      <c r="J492" s="120"/>
      <c r="K492" s="119"/>
      <c r="L492" s="120"/>
      <c r="M492" s="119"/>
      <c r="N492" s="120"/>
      <c r="O492" s="119"/>
      <c r="P492" s="120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customFormat="false" ht="14.25" hidden="false" customHeight="true" outlineLevel="0" collapsed="false">
      <c r="A493" s="141"/>
      <c r="B493" s="142"/>
      <c r="C493" s="143"/>
      <c r="D493" s="144"/>
      <c r="E493" s="119"/>
      <c r="F493" s="120"/>
      <c r="G493" s="119"/>
      <c r="H493" s="120"/>
      <c r="I493" s="119"/>
      <c r="J493" s="120"/>
      <c r="K493" s="119"/>
      <c r="L493" s="120"/>
      <c r="M493" s="119"/>
      <c r="N493" s="120"/>
      <c r="O493" s="119"/>
      <c r="P493" s="120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customFormat="false" ht="14.25" hidden="false" customHeight="true" outlineLevel="0" collapsed="false">
      <c r="A494" s="141"/>
      <c r="B494" s="142"/>
      <c r="C494" s="143"/>
      <c r="D494" s="144"/>
      <c r="E494" s="119"/>
      <c r="F494" s="120"/>
      <c r="G494" s="119"/>
      <c r="H494" s="120"/>
      <c r="I494" s="119"/>
      <c r="J494" s="120"/>
      <c r="K494" s="119"/>
      <c r="L494" s="120"/>
      <c r="M494" s="119"/>
      <c r="N494" s="120"/>
      <c r="O494" s="119"/>
      <c r="P494" s="120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customFormat="false" ht="14.25" hidden="false" customHeight="true" outlineLevel="0" collapsed="false">
      <c r="A495" s="141"/>
      <c r="B495" s="142"/>
      <c r="C495" s="143"/>
      <c r="D495" s="144"/>
      <c r="E495" s="119"/>
      <c r="F495" s="120"/>
      <c r="G495" s="119"/>
      <c r="H495" s="120"/>
      <c r="I495" s="119"/>
      <c r="J495" s="120"/>
      <c r="K495" s="119"/>
      <c r="L495" s="120"/>
      <c r="M495" s="119"/>
      <c r="N495" s="120"/>
      <c r="O495" s="119"/>
      <c r="P495" s="120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customFormat="false" ht="14.25" hidden="false" customHeight="true" outlineLevel="0" collapsed="false">
      <c r="A496" s="141"/>
      <c r="B496" s="142"/>
      <c r="C496" s="143"/>
      <c r="D496" s="144"/>
      <c r="E496" s="119"/>
      <c r="F496" s="120"/>
      <c r="G496" s="119"/>
      <c r="H496" s="120"/>
      <c r="I496" s="119"/>
      <c r="J496" s="120"/>
      <c r="K496" s="119"/>
      <c r="L496" s="120"/>
      <c r="M496" s="119"/>
      <c r="N496" s="120"/>
      <c r="O496" s="119"/>
      <c r="P496" s="120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customFormat="false" ht="14.25" hidden="false" customHeight="true" outlineLevel="0" collapsed="false">
      <c r="A497" s="141"/>
      <c r="B497" s="142"/>
      <c r="C497" s="143"/>
      <c r="D497" s="144"/>
      <c r="E497" s="119"/>
      <c r="F497" s="120"/>
      <c r="G497" s="119"/>
      <c r="H497" s="120"/>
      <c r="I497" s="119"/>
      <c r="J497" s="120"/>
      <c r="K497" s="119"/>
      <c r="L497" s="120"/>
      <c r="M497" s="119"/>
      <c r="N497" s="120"/>
      <c r="O497" s="119"/>
      <c r="P497" s="120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customFormat="false" ht="14.25" hidden="false" customHeight="true" outlineLevel="0" collapsed="false">
      <c r="A498" s="141"/>
      <c r="B498" s="142"/>
      <c r="C498" s="143"/>
      <c r="D498" s="144"/>
      <c r="E498" s="119"/>
      <c r="F498" s="120"/>
      <c r="G498" s="119"/>
      <c r="H498" s="120"/>
      <c r="I498" s="119"/>
      <c r="J498" s="120"/>
      <c r="K498" s="119"/>
      <c r="L498" s="120"/>
      <c r="M498" s="119"/>
      <c r="N498" s="120"/>
      <c r="O498" s="119"/>
      <c r="P498" s="120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customFormat="false" ht="14.25" hidden="false" customHeight="true" outlineLevel="0" collapsed="false">
      <c r="A499" s="141"/>
      <c r="B499" s="142"/>
      <c r="C499" s="143"/>
      <c r="D499" s="144"/>
      <c r="E499" s="119"/>
      <c r="F499" s="120"/>
      <c r="G499" s="119"/>
      <c r="H499" s="120"/>
      <c r="I499" s="119"/>
      <c r="J499" s="120"/>
      <c r="K499" s="119"/>
      <c r="L499" s="120"/>
      <c r="M499" s="119"/>
      <c r="N499" s="120"/>
      <c r="O499" s="119"/>
      <c r="P499" s="120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customFormat="false" ht="14.25" hidden="false" customHeight="true" outlineLevel="0" collapsed="false">
      <c r="A500" s="141"/>
      <c r="B500" s="142"/>
      <c r="C500" s="143"/>
      <c r="D500" s="144"/>
      <c r="E500" s="119"/>
      <c r="F500" s="120"/>
      <c r="G500" s="119"/>
      <c r="H500" s="120"/>
      <c r="I500" s="119"/>
      <c r="J500" s="120"/>
      <c r="K500" s="119"/>
      <c r="L500" s="120"/>
      <c r="M500" s="119"/>
      <c r="N500" s="120"/>
      <c r="O500" s="119"/>
      <c r="P500" s="120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customFormat="false" ht="14.25" hidden="false" customHeight="true" outlineLevel="0" collapsed="false">
      <c r="A501" s="141"/>
      <c r="B501" s="142"/>
      <c r="C501" s="143"/>
      <c r="D501" s="144"/>
      <c r="E501" s="119"/>
      <c r="F501" s="120"/>
      <c r="G501" s="119"/>
      <c r="H501" s="120"/>
      <c r="I501" s="119"/>
      <c r="J501" s="120"/>
      <c r="K501" s="119"/>
      <c r="L501" s="120"/>
      <c r="M501" s="119"/>
      <c r="N501" s="120"/>
      <c r="O501" s="119"/>
      <c r="P501" s="120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customFormat="false" ht="14.25" hidden="false" customHeight="true" outlineLevel="0" collapsed="false">
      <c r="A502" s="141"/>
      <c r="B502" s="142"/>
      <c r="C502" s="143"/>
      <c r="D502" s="144"/>
      <c r="E502" s="119"/>
      <c r="F502" s="120"/>
      <c r="G502" s="119"/>
      <c r="H502" s="120"/>
      <c r="I502" s="119"/>
      <c r="J502" s="120"/>
      <c r="K502" s="119"/>
      <c r="L502" s="120"/>
      <c r="M502" s="119"/>
      <c r="N502" s="120"/>
      <c r="O502" s="119"/>
      <c r="P502" s="120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customFormat="false" ht="14.25" hidden="false" customHeight="true" outlineLevel="0" collapsed="false">
      <c r="A503" s="141"/>
      <c r="B503" s="142"/>
      <c r="C503" s="143"/>
      <c r="D503" s="144"/>
      <c r="E503" s="119"/>
      <c r="F503" s="120"/>
      <c r="G503" s="119"/>
      <c r="H503" s="120"/>
      <c r="I503" s="119"/>
      <c r="J503" s="120"/>
      <c r="K503" s="119"/>
      <c r="L503" s="120"/>
      <c r="M503" s="119"/>
      <c r="N503" s="120"/>
      <c r="O503" s="119"/>
      <c r="P503" s="120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customFormat="false" ht="14.25" hidden="false" customHeight="true" outlineLevel="0" collapsed="false">
      <c r="A504" s="141"/>
      <c r="B504" s="142"/>
      <c r="C504" s="143"/>
      <c r="D504" s="144"/>
      <c r="E504" s="119"/>
      <c r="F504" s="120"/>
      <c r="G504" s="119"/>
      <c r="H504" s="120"/>
      <c r="I504" s="119"/>
      <c r="J504" s="120"/>
      <c r="K504" s="119"/>
      <c r="L504" s="120"/>
      <c r="M504" s="119"/>
      <c r="N504" s="120"/>
      <c r="O504" s="119"/>
      <c r="P504" s="120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customFormat="false" ht="14.25" hidden="false" customHeight="true" outlineLevel="0" collapsed="false">
      <c r="A505" s="141"/>
      <c r="B505" s="142"/>
      <c r="C505" s="143"/>
      <c r="D505" s="144"/>
      <c r="E505" s="119"/>
      <c r="F505" s="120"/>
      <c r="G505" s="119"/>
      <c r="H505" s="120"/>
      <c r="I505" s="119"/>
      <c r="J505" s="120"/>
      <c r="K505" s="119"/>
      <c r="L505" s="120"/>
      <c r="M505" s="119"/>
      <c r="N505" s="120"/>
      <c r="O505" s="119"/>
      <c r="P505" s="120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customFormat="false" ht="14.25" hidden="false" customHeight="true" outlineLevel="0" collapsed="false">
      <c r="A506" s="141"/>
      <c r="B506" s="142"/>
      <c r="C506" s="143"/>
      <c r="D506" s="144"/>
      <c r="E506" s="119"/>
      <c r="F506" s="120"/>
      <c r="G506" s="119"/>
      <c r="H506" s="120"/>
      <c r="I506" s="119"/>
      <c r="J506" s="120"/>
      <c r="K506" s="119"/>
      <c r="L506" s="120"/>
      <c r="M506" s="119"/>
      <c r="N506" s="120"/>
      <c r="O506" s="119"/>
      <c r="P506" s="120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customFormat="false" ht="14.25" hidden="false" customHeight="true" outlineLevel="0" collapsed="false">
      <c r="A507" s="141"/>
      <c r="B507" s="142"/>
      <c r="C507" s="143"/>
      <c r="D507" s="144"/>
      <c r="E507" s="119"/>
      <c r="F507" s="120"/>
      <c r="G507" s="119"/>
      <c r="H507" s="120"/>
      <c r="I507" s="119"/>
      <c r="J507" s="120"/>
      <c r="K507" s="119"/>
      <c r="L507" s="120"/>
      <c r="M507" s="119"/>
      <c r="N507" s="120"/>
      <c r="O507" s="119"/>
      <c r="P507" s="120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customFormat="false" ht="14.25" hidden="false" customHeight="true" outlineLevel="0" collapsed="false">
      <c r="A508" s="141"/>
      <c r="B508" s="142"/>
      <c r="C508" s="143"/>
      <c r="D508" s="144"/>
      <c r="E508" s="119"/>
      <c r="F508" s="120"/>
      <c r="G508" s="119"/>
      <c r="H508" s="120"/>
      <c r="I508" s="119"/>
      <c r="J508" s="120"/>
      <c r="K508" s="119"/>
      <c r="L508" s="120"/>
      <c r="M508" s="119"/>
      <c r="N508" s="120"/>
      <c r="O508" s="119"/>
      <c r="P508" s="120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customFormat="false" ht="14.25" hidden="false" customHeight="true" outlineLevel="0" collapsed="false">
      <c r="A509" s="141"/>
      <c r="B509" s="142"/>
      <c r="C509" s="143"/>
      <c r="D509" s="144"/>
      <c r="E509" s="119"/>
      <c r="F509" s="120"/>
      <c r="G509" s="119"/>
      <c r="H509" s="120"/>
      <c r="I509" s="119"/>
      <c r="J509" s="120"/>
      <c r="K509" s="119"/>
      <c r="L509" s="120"/>
      <c r="M509" s="119"/>
      <c r="N509" s="120"/>
      <c r="O509" s="119"/>
      <c r="P509" s="120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customFormat="false" ht="14.25" hidden="false" customHeight="true" outlineLevel="0" collapsed="false">
      <c r="A510" s="141"/>
      <c r="B510" s="142"/>
      <c r="C510" s="143"/>
      <c r="D510" s="144"/>
      <c r="E510" s="119"/>
      <c r="F510" s="120"/>
      <c r="G510" s="119"/>
      <c r="H510" s="120"/>
      <c r="I510" s="119"/>
      <c r="J510" s="120"/>
      <c r="K510" s="119"/>
      <c r="L510" s="120"/>
      <c r="M510" s="119"/>
      <c r="N510" s="120"/>
      <c r="O510" s="119"/>
      <c r="P510" s="120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customFormat="false" ht="14.25" hidden="false" customHeight="true" outlineLevel="0" collapsed="false">
      <c r="A511" s="141"/>
      <c r="B511" s="142"/>
      <c r="C511" s="143"/>
      <c r="D511" s="144"/>
      <c r="E511" s="119"/>
      <c r="F511" s="120"/>
      <c r="G511" s="119"/>
      <c r="H511" s="120"/>
      <c r="I511" s="119"/>
      <c r="J511" s="120"/>
      <c r="K511" s="119"/>
      <c r="L511" s="120"/>
      <c r="M511" s="119"/>
      <c r="N511" s="120"/>
      <c r="O511" s="119"/>
      <c r="P511" s="120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customFormat="false" ht="14.25" hidden="false" customHeight="true" outlineLevel="0" collapsed="false">
      <c r="A512" s="141"/>
      <c r="B512" s="142"/>
      <c r="C512" s="143"/>
      <c r="D512" s="144"/>
      <c r="E512" s="119"/>
      <c r="F512" s="120"/>
      <c r="G512" s="119"/>
      <c r="H512" s="120"/>
      <c r="I512" s="119"/>
      <c r="J512" s="120"/>
      <c r="K512" s="119"/>
      <c r="L512" s="120"/>
      <c r="M512" s="119"/>
      <c r="N512" s="120"/>
      <c r="O512" s="119"/>
      <c r="P512" s="120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customFormat="false" ht="14.25" hidden="false" customHeight="true" outlineLevel="0" collapsed="false">
      <c r="A513" s="141"/>
      <c r="B513" s="142"/>
      <c r="C513" s="143"/>
      <c r="D513" s="144"/>
      <c r="E513" s="119"/>
      <c r="F513" s="120"/>
      <c r="G513" s="119"/>
      <c r="H513" s="120"/>
      <c r="I513" s="119"/>
      <c r="J513" s="120"/>
      <c r="K513" s="119"/>
      <c r="L513" s="120"/>
      <c r="M513" s="119"/>
      <c r="N513" s="120"/>
      <c r="O513" s="119"/>
      <c r="P513" s="120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customFormat="false" ht="14.25" hidden="false" customHeight="true" outlineLevel="0" collapsed="false">
      <c r="A514" s="141"/>
      <c r="B514" s="142"/>
      <c r="C514" s="143"/>
      <c r="D514" s="144"/>
      <c r="E514" s="119"/>
      <c r="F514" s="120"/>
      <c r="G514" s="119"/>
      <c r="H514" s="120"/>
      <c r="I514" s="119"/>
      <c r="J514" s="120"/>
      <c r="K514" s="119"/>
      <c r="L514" s="120"/>
      <c r="M514" s="119"/>
      <c r="N514" s="120"/>
      <c r="O514" s="119"/>
      <c r="P514" s="120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customFormat="false" ht="14.25" hidden="false" customHeight="true" outlineLevel="0" collapsed="false">
      <c r="A515" s="141"/>
      <c r="B515" s="142"/>
      <c r="C515" s="143"/>
      <c r="D515" s="144"/>
      <c r="E515" s="119"/>
      <c r="F515" s="120"/>
      <c r="G515" s="119"/>
      <c r="H515" s="120"/>
      <c r="I515" s="119"/>
      <c r="J515" s="120"/>
      <c r="K515" s="119"/>
      <c r="L515" s="120"/>
      <c r="M515" s="119"/>
      <c r="N515" s="120"/>
      <c r="O515" s="119"/>
      <c r="P515" s="120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customFormat="false" ht="14.25" hidden="false" customHeight="true" outlineLevel="0" collapsed="false">
      <c r="A516" s="141"/>
      <c r="B516" s="142"/>
      <c r="C516" s="143"/>
      <c r="D516" s="144"/>
      <c r="E516" s="119"/>
      <c r="F516" s="120"/>
      <c r="G516" s="119"/>
      <c r="H516" s="120"/>
      <c r="I516" s="119"/>
      <c r="J516" s="120"/>
      <c r="K516" s="119"/>
      <c r="L516" s="120"/>
      <c r="M516" s="119"/>
      <c r="N516" s="120"/>
      <c r="O516" s="119"/>
      <c r="P516" s="120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customFormat="false" ht="14.25" hidden="false" customHeight="true" outlineLevel="0" collapsed="false">
      <c r="A517" s="141"/>
      <c r="B517" s="142"/>
      <c r="C517" s="143"/>
      <c r="D517" s="144"/>
      <c r="E517" s="119"/>
      <c r="F517" s="120"/>
      <c r="G517" s="119"/>
      <c r="H517" s="120"/>
      <c r="I517" s="119"/>
      <c r="J517" s="120"/>
      <c r="K517" s="119"/>
      <c r="L517" s="120"/>
      <c r="M517" s="119"/>
      <c r="N517" s="120"/>
      <c r="O517" s="119"/>
      <c r="P517" s="120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customFormat="false" ht="14.25" hidden="false" customHeight="true" outlineLevel="0" collapsed="false">
      <c r="A518" s="141"/>
      <c r="B518" s="142"/>
      <c r="C518" s="143"/>
      <c r="D518" s="144"/>
      <c r="E518" s="119"/>
      <c r="F518" s="120"/>
      <c r="G518" s="119"/>
      <c r="H518" s="120"/>
      <c r="I518" s="119"/>
      <c r="J518" s="120"/>
      <c r="K518" s="119"/>
      <c r="L518" s="120"/>
      <c r="M518" s="119"/>
      <c r="N518" s="120"/>
      <c r="O518" s="119"/>
      <c r="P518" s="120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customFormat="false" ht="14.25" hidden="false" customHeight="true" outlineLevel="0" collapsed="false">
      <c r="A519" s="141"/>
      <c r="B519" s="142"/>
      <c r="C519" s="143"/>
      <c r="D519" s="144"/>
      <c r="E519" s="119"/>
      <c r="F519" s="120"/>
      <c r="G519" s="119"/>
      <c r="H519" s="120"/>
      <c r="I519" s="119"/>
      <c r="J519" s="120"/>
      <c r="K519" s="119"/>
      <c r="L519" s="120"/>
      <c r="M519" s="119"/>
      <c r="N519" s="120"/>
      <c r="O519" s="119"/>
      <c r="P519" s="120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customFormat="false" ht="14.25" hidden="false" customHeight="true" outlineLevel="0" collapsed="false">
      <c r="A520" s="141"/>
      <c r="B520" s="142"/>
      <c r="C520" s="143"/>
      <c r="D520" s="144"/>
      <c r="E520" s="119"/>
      <c r="F520" s="120"/>
      <c r="G520" s="119"/>
      <c r="H520" s="120"/>
      <c r="I520" s="119"/>
      <c r="J520" s="120"/>
      <c r="K520" s="119"/>
      <c r="L520" s="120"/>
      <c r="M520" s="119"/>
      <c r="N520" s="120"/>
      <c r="O520" s="119"/>
      <c r="P520" s="120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customFormat="false" ht="14.25" hidden="false" customHeight="true" outlineLevel="0" collapsed="false">
      <c r="A521" s="141"/>
      <c r="B521" s="142"/>
      <c r="C521" s="143"/>
      <c r="D521" s="144"/>
      <c r="E521" s="119"/>
      <c r="F521" s="120"/>
      <c r="G521" s="119"/>
      <c r="H521" s="120"/>
      <c r="I521" s="119"/>
      <c r="J521" s="120"/>
      <c r="K521" s="119"/>
      <c r="L521" s="120"/>
      <c r="M521" s="119"/>
      <c r="N521" s="120"/>
      <c r="O521" s="119"/>
      <c r="P521" s="120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customFormat="false" ht="14.25" hidden="false" customHeight="true" outlineLevel="0" collapsed="false">
      <c r="A522" s="141"/>
      <c r="B522" s="142"/>
      <c r="C522" s="143"/>
      <c r="D522" s="144"/>
      <c r="E522" s="119"/>
      <c r="F522" s="120"/>
      <c r="G522" s="119"/>
      <c r="H522" s="120"/>
      <c r="I522" s="119"/>
      <c r="J522" s="120"/>
      <c r="K522" s="119"/>
      <c r="L522" s="120"/>
      <c r="M522" s="119"/>
      <c r="N522" s="120"/>
      <c r="O522" s="119"/>
      <c r="P522" s="120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customFormat="false" ht="14.25" hidden="false" customHeight="true" outlineLevel="0" collapsed="false">
      <c r="A523" s="141"/>
      <c r="B523" s="142"/>
      <c r="C523" s="143"/>
      <c r="D523" s="144"/>
      <c r="E523" s="119"/>
      <c r="F523" s="120"/>
      <c r="G523" s="119"/>
      <c r="H523" s="120"/>
      <c r="I523" s="119"/>
      <c r="J523" s="120"/>
      <c r="K523" s="119"/>
      <c r="L523" s="120"/>
      <c r="M523" s="119"/>
      <c r="N523" s="120"/>
      <c r="O523" s="119"/>
      <c r="P523" s="120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customFormat="false" ht="14.25" hidden="false" customHeight="true" outlineLevel="0" collapsed="false">
      <c r="A524" s="141"/>
      <c r="B524" s="142"/>
      <c r="C524" s="143"/>
      <c r="D524" s="144"/>
      <c r="E524" s="119"/>
      <c r="F524" s="120"/>
      <c r="G524" s="119"/>
      <c r="H524" s="120"/>
      <c r="I524" s="119"/>
      <c r="J524" s="120"/>
      <c r="K524" s="119"/>
      <c r="L524" s="120"/>
      <c r="M524" s="119"/>
      <c r="N524" s="120"/>
      <c r="O524" s="119"/>
      <c r="P524" s="120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customFormat="false" ht="14.25" hidden="false" customHeight="true" outlineLevel="0" collapsed="false">
      <c r="A525" s="141"/>
      <c r="B525" s="142"/>
      <c r="C525" s="143"/>
      <c r="D525" s="144"/>
      <c r="E525" s="119"/>
      <c r="F525" s="120"/>
      <c r="G525" s="119"/>
      <c r="H525" s="120"/>
      <c r="I525" s="119"/>
      <c r="J525" s="120"/>
      <c r="K525" s="119"/>
      <c r="L525" s="120"/>
      <c r="M525" s="119"/>
      <c r="N525" s="120"/>
      <c r="O525" s="119"/>
      <c r="P525" s="120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customFormat="false" ht="14.25" hidden="false" customHeight="true" outlineLevel="0" collapsed="false">
      <c r="A526" s="141"/>
      <c r="B526" s="142"/>
      <c r="C526" s="143"/>
      <c r="D526" s="144"/>
      <c r="E526" s="119"/>
      <c r="F526" s="120"/>
      <c r="G526" s="119"/>
      <c r="H526" s="120"/>
      <c r="I526" s="119"/>
      <c r="J526" s="120"/>
      <c r="K526" s="119"/>
      <c r="L526" s="120"/>
      <c r="M526" s="119"/>
      <c r="N526" s="120"/>
      <c r="O526" s="119"/>
      <c r="P526" s="120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customFormat="false" ht="14.25" hidden="false" customHeight="true" outlineLevel="0" collapsed="false">
      <c r="A527" s="141"/>
      <c r="B527" s="142"/>
      <c r="C527" s="143"/>
      <c r="D527" s="144"/>
      <c r="E527" s="119"/>
      <c r="F527" s="120"/>
      <c r="G527" s="119"/>
      <c r="H527" s="120"/>
      <c r="I527" s="119"/>
      <c r="J527" s="120"/>
      <c r="K527" s="119"/>
      <c r="L527" s="120"/>
      <c r="M527" s="119"/>
      <c r="N527" s="120"/>
      <c r="O527" s="119"/>
      <c r="P527" s="120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customFormat="false" ht="14.25" hidden="false" customHeight="true" outlineLevel="0" collapsed="false">
      <c r="A528" s="141"/>
      <c r="B528" s="142"/>
      <c r="C528" s="143"/>
      <c r="D528" s="144"/>
      <c r="E528" s="119"/>
      <c r="F528" s="120"/>
      <c r="G528" s="119"/>
      <c r="H528" s="120"/>
      <c r="I528" s="119"/>
      <c r="J528" s="120"/>
      <c r="K528" s="119"/>
      <c r="L528" s="120"/>
      <c r="M528" s="119"/>
      <c r="N528" s="120"/>
      <c r="O528" s="119"/>
      <c r="P528" s="120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customFormat="false" ht="14.25" hidden="false" customHeight="true" outlineLevel="0" collapsed="false">
      <c r="A529" s="141"/>
      <c r="B529" s="142"/>
      <c r="C529" s="143"/>
      <c r="D529" s="144"/>
      <c r="E529" s="119"/>
      <c r="F529" s="120"/>
      <c r="G529" s="119"/>
      <c r="H529" s="120"/>
      <c r="I529" s="119"/>
      <c r="J529" s="120"/>
      <c r="K529" s="119"/>
      <c r="L529" s="120"/>
      <c r="M529" s="119"/>
      <c r="N529" s="120"/>
      <c r="O529" s="119"/>
      <c r="P529" s="120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customFormat="false" ht="14.25" hidden="false" customHeight="true" outlineLevel="0" collapsed="false">
      <c r="A530" s="141"/>
      <c r="B530" s="142"/>
      <c r="C530" s="143"/>
      <c r="D530" s="144"/>
      <c r="E530" s="119"/>
      <c r="F530" s="120"/>
      <c r="G530" s="119"/>
      <c r="H530" s="120"/>
      <c r="I530" s="119"/>
      <c r="J530" s="120"/>
      <c r="K530" s="119"/>
      <c r="L530" s="120"/>
      <c r="M530" s="119"/>
      <c r="N530" s="120"/>
      <c r="O530" s="119"/>
      <c r="P530" s="120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customFormat="false" ht="14.25" hidden="false" customHeight="true" outlineLevel="0" collapsed="false">
      <c r="A531" s="141"/>
      <c r="B531" s="142"/>
      <c r="C531" s="143"/>
      <c r="D531" s="144"/>
      <c r="E531" s="119"/>
      <c r="F531" s="120"/>
      <c r="G531" s="119"/>
      <c r="H531" s="120"/>
      <c r="I531" s="119"/>
      <c r="J531" s="120"/>
      <c r="K531" s="119"/>
      <c r="L531" s="120"/>
      <c r="M531" s="119"/>
      <c r="N531" s="120"/>
      <c r="O531" s="119"/>
      <c r="P531" s="120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customFormat="false" ht="14.25" hidden="false" customHeight="true" outlineLevel="0" collapsed="false">
      <c r="A532" s="141"/>
      <c r="B532" s="142"/>
      <c r="C532" s="143"/>
      <c r="D532" s="144"/>
      <c r="E532" s="119"/>
      <c r="F532" s="120"/>
      <c r="G532" s="119"/>
      <c r="H532" s="120"/>
      <c r="I532" s="119"/>
      <c r="J532" s="120"/>
      <c r="K532" s="119"/>
      <c r="L532" s="120"/>
      <c r="M532" s="119"/>
      <c r="N532" s="120"/>
      <c r="O532" s="119"/>
      <c r="P532" s="120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customFormat="false" ht="14.25" hidden="false" customHeight="true" outlineLevel="0" collapsed="false">
      <c r="A533" s="141"/>
      <c r="B533" s="142"/>
      <c r="C533" s="143"/>
      <c r="D533" s="144"/>
      <c r="E533" s="119"/>
      <c r="F533" s="120"/>
      <c r="G533" s="119"/>
      <c r="H533" s="120"/>
      <c r="I533" s="119"/>
      <c r="J533" s="120"/>
      <c r="K533" s="119"/>
      <c r="L533" s="120"/>
      <c r="M533" s="119"/>
      <c r="N533" s="120"/>
      <c r="O533" s="119"/>
      <c r="P533" s="120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customFormat="false" ht="14.25" hidden="false" customHeight="true" outlineLevel="0" collapsed="false">
      <c r="A534" s="141"/>
      <c r="B534" s="142"/>
      <c r="C534" s="143"/>
      <c r="D534" s="144"/>
      <c r="E534" s="119"/>
      <c r="F534" s="120"/>
      <c r="G534" s="119"/>
      <c r="H534" s="120"/>
      <c r="I534" s="119"/>
      <c r="J534" s="120"/>
      <c r="K534" s="119"/>
      <c r="L534" s="120"/>
      <c r="M534" s="119"/>
      <c r="N534" s="120"/>
      <c r="O534" s="119"/>
      <c r="P534" s="120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customFormat="false" ht="14.25" hidden="false" customHeight="true" outlineLevel="0" collapsed="false">
      <c r="A535" s="141"/>
      <c r="B535" s="142"/>
      <c r="C535" s="143"/>
      <c r="D535" s="144"/>
      <c r="E535" s="119"/>
      <c r="F535" s="120"/>
      <c r="G535" s="119"/>
      <c r="H535" s="120"/>
      <c r="I535" s="119"/>
      <c r="J535" s="120"/>
      <c r="K535" s="119"/>
      <c r="L535" s="120"/>
      <c r="M535" s="119"/>
      <c r="N535" s="120"/>
      <c r="O535" s="119"/>
      <c r="P535" s="120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customFormat="false" ht="14.25" hidden="false" customHeight="true" outlineLevel="0" collapsed="false">
      <c r="A536" s="141"/>
      <c r="B536" s="142"/>
      <c r="C536" s="143"/>
      <c r="D536" s="144"/>
      <c r="E536" s="119"/>
      <c r="F536" s="120"/>
      <c r="G536" s="119"/>
      <c r="H536" s="120"/>
      <c r="I536" s="119"/>
      <c r="J536" s="120"/>
      <c r="K536" s="119"/>
      <c r="L536" s="120"/>
      <c r="M536" s="119"/>
      <c r="N536" s="120"/>
      <c r="O536" s="119"/>
      <c r="P536" s="120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customFormat="false" ht="14.25" hidden="false" customHeight="true" outlineLevel="0" collapsed="false">
      <c r="A537" s="141"/>
      <c r="B537" s="142"/>
      <c r="C537" s="143"/>
      <c r="D537" s="144"/>
      <c r="E537" s="119"/>
      <c r="F537" s="120"/>
      <c r="G537" s="119"/>
      <c r="H537" s="120"/>
      <c r="I537" s="119"/>
      <c r="J537" s="120"/>
      <c r="K537" s="119"/>
      <c r="L537" s="120"/>
      <c r="M537" s="119"/>
      <c r="N537" s="120"/>
      <c r="O537" s="119"/>
      <c r="P537" s="120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customFormat="false" ht="14.25" hidden="false" customHeight="true" outlineLevel="0" collapsed="false">
      <c r="A538" s="141"/>
      <c r="B538" s="142"/>
      <c r="C538" s="143"/>
      <c r="D538" s="144"/>
      <c r="E538" s="119"/>
      <c r="F538" s="120"/>
      <c r="G538" s="119"/>
      <c r="H538" s="120"/>
      <c r="I538" s="119"/>
      <c r="J538" s="120"/>
      <c r="K538" s="119"/>
      <c r="L538" s="120"/>
      <c r="M538" s="119"/>
      <c r="N538" s="120"/>
      <c r="O538" s="119"/>
      <c r="P538" s="120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customFormat="false" ht="14.25" hidden="false" customHeight="true" outlineLevel="0" collapsed="false">
      <c r="A539" s="141"/>
      <c r="B539" s="142"/>
      <c r="C539" s="143"/>
      <c r="D539" s="144"/>
      <c r="E539" s="119"/>
      <c r="F539" s="120"/>
      <c r="G539" s="119"/>
      <c r="H539" s="120"/>
      <c r="I539" s="119"/>
      <c r="J539" s="120"/>
      <c r="K539" s="119"/>
      <c r="L539" s="120"/>
      <c r="M539" s="119"/>
      <c r="N539" s="120"/>
      <c r="O539" s="119"/>
      <c r="P539" s="120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customFormat="false" ht="14.25" hidden="false" customHeight="true" outlineLevel="0" collapsed="false">
      <c r="A540" s="141"/>
      <c r="B540" s="142"/>
      <c r="C540" s="143"/>
      <c r="D540" s="144"/>
      <c r="E540" s="119"/>
      <c r="F540" s="120"/>
      <c r="G540" s="119"/>
      <c r="H540" s="120"/>
      <c r="I540" s="119"/>
      <c r="J540" s="120"/>
      <c r="K540" s="119"/>
      <c r="L540" s="120"/>
      <c r="M540" s="119"/>
      <c r="N540" s="120"/>
      <c r="O540" s="119"/>
      <c r="P540" s="120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customFormat="false" ht="14.25" hidden="false" customHeight="true" outlineLevel="0" collapsed="false">
      <c r="A541" s="141"/>
      <c r="B541" s="142"/>
      <c r="C541" s="143"/>
      <c r="D541" s="144"/>
      <c r="E541" s="119"/>
      <c r="F541" s="120"/>
      <c r="G541" s="119"/>
      <c r="H541" s="120"/>
      <c r="I541" s="119"/>
      <c r="J541" s="120"/>
      <c r="K541" s="119"/>
      <c r="L541" s="120"/>
      <c r="M541" s="119"/>
      <c r="N541" s="120"/>
      <c r="O541" s="119"/>
      <c r="P541" s="120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customFormat="false" ht="14.25" hidden="false" customHeight="true" outlineLevel="0" collapsed="false">
      <c r="A542" s="141"/>
      <c r="B542" s="142"/>
      <c r="C542" s="143"/>
      <c r="D542" s="144"/>
      <c r="E542" s="119"/>
      <c r="F542" s="120"/>
      <c r="G542" s="119"/>
      <c r="H542" s="120"/>
      <c r="I542" s="119"/>
      <c r="J542" s="120"/>
      <c r="K542" s="119"/>
      <c r="L542" s="120"/>
      <c r="M542" s="119"/>
      <c r="N542" s="120"/>
      <c r="O542" s="119"/>
      <c r="P542" s="120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customFormat="false" ht="14.25" hidden="false" customHeight="true" outlineLevel="0" collapsed="false">
      <c r="A543" s="141"/>
      <c r="B543" s="142"/>
      <c r="C543" s="143"/>
      <c r="D543" s="144"/>
      <c r="E543" s="119"/>
      <c r="F543" s="120"/>
      <c r="G543" s="119"/>
      <c r="H543" s="120"/>
      <c r="I543" s="119"/>
      <c r="J543" s="120"/>
      <c r="K543" s="119"/>
      <c r="L543" s="120"/>
      <c r="M543" s="119"/>
      <c r="N543" s="120"/>
      <c r="O543" s="119"/>
      <c r="P543" s="120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customFormat="false" ht="14.25" hidden="false" customHeight="true" outlineLevel="0" collapsed="false">
      <c r="A544" s="141"/>
      <c r="B544" s="142"/>
      <c r="C544" s="143"/>
      <c r="D544" s="144"/>
      <c r="E544" s="119"/>
      <c r="F544" s="120"/>
      <c r="G544" s="119"/>
      <c r="H544" s="120"/>
      <c r="I544" s="119"/>
      <c r="J544" s="120"/>
      <c r="K544" s="119"/>
      <c r="L544" s="120"/>
      <c r="M544" s="119"/>
      <c r="N544" s="120"/>
      <c r="O544" s="119"/>
      <c r="P544" s="120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customFormat="false" ht="14.25" hidden="false" customHeight="true" outlineLevel="0" collapsed="false">
      <c r="A545" s="141"/>
      <c r="B545" s="142"/>
      <c r="C545" s="143"/>
      <c r="D545" s="144"/>
      <c r="E545" s="119"/>
      <c r="F545" s="120"/>
      <c r="G545" s="119"/>
      <c r="H545" s="120"/>
      <c r="I545" s="119"/>
      <c r="J545" s="120"/>
      <c r="K545" s="119"/>
      <c r="L545" s="120"/>
      <c r="M545" s="119"/>
      <c r="N545" s="120"/>
      <c r="O545" s="119"/>
      <c r="P545" s="120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customFormat="false" ht="14.25" hidden="false" customHeight="true" outlineLevel="0" collapsed="false">
      <c r="A546" s="141"/>
      <c r="B546" s="142"/>
      <c r="C546" s="143"/>
      <c r="D546" s="144"/>
      <c r="E546" s="119"/>
      <c r="F546" s="120"/>
      <c r="G546" s="119"/>
      <c r="H546" s="120"/>
      <c r="I546" s="119"/>
      <c r="J546" s="120"/>
      <c r="K546" s="119"/>
      <c r="L546" s="120"/>
      <c r="M546" s="119"/>
      <c r="N546" s="120"/>
      <c r="O546" s="119"/>
      <c r="P546" s="120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customFormat="false" ht="14.25" hidden="false" customHeight="true" outlineLevel="0" collapsed="false">
      <c r="A547" s="141"/>
      <c r="B547" s="142"/>
      <c r="C547" s="143"/>
      <c r="D547" s="144"/>
      <c r="E547" s="119"/>
      <c r="F547" s="120"/>
      <c r="G547" s="119"/>
      <c r="H547" s="120"/>
      <c r="I547" s="119"/>
      <c r="J547" s="120"/>
      <c r="K547" s="119"/>
      <c r="L547" s="120"/>
      <c r="M547" s="119"/>
      <c r="N547" s="120"/>
      <c r="O547" s="119"/>
      <c r="P547" s="120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customFormat="false" ht="14.25" hidden="false" customHeight="true" outlineLevel="0" collapsed="false">
      <c r="A548" s="141"/>
      <c r="B548" s="142"/>
      <c r="C548" s="143"/>
      <c r="D548" s="144"/>
      <c r="E548" s="119"/>
      <c r="F548" s="120"/>
      <c r="G548" s="119"/>
      <c r="H548" s="120"/>
      <c r="I548" s="119"/>
      <c r="J548" s="120"/>
      <c r="K548" s="119"/>
      <c r="L548" s="120"/>
      <c r="M548" s="119"/>
      <c r="N548" s="120"/>
      <c r="O548" s="119"/>
      <c r="P548" s="120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customFormat="false" ht="14.25" hidden="false" customHeight="true" outlineLevel="0" collapsed="false">
      <c r="A549" s="141"/>
      <c r="B549" s="142"/>
      <c r="C549" s="143"/>
      <c r="D549" s="144"/>
      <c r="E549" s="119"/>
      <c r="F549" s="120"/>
      <c r="G549" s="119"/>
      <c r="H549" s="120"/>
      <c r="I549" s="119"/>
      <c r="J549" s="120"/>
      <c r="K549" s="119"/>
      <c r="L549" s="120"/>
      <c r="M549" s="119"/>
      <c r="N549" s="120"/>
      <c r="O549" s="119"/>
      <c r="P549" s="120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customFormat="false" ht="14.25" hidden="false" customHeight="true" outlineLevel="0" collapsed="false">
      <c r="A550" s="141"/>
      <c r="B550" s="142"/>
      <c r="C550" s="143"/>
      <c r="D550" s="144"/>
      <c r="E550" s="119"/>
      <c r="F550" s="120"/>
      <c r="G550" s="119"/>
      <c r="H550" s="120"/>
      <c r="I550" s="119"/>
      <c r="J550" s="120"/>
      <c r="K550" s="119"/>
      <c r="L550" s="120"/>
      <c r="M550" s="119"/>
      <c r="N550" s="120"/>
      <c r="O550" s="119"/>
      <c r="P550" s="120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customFormat="false" ht="14.25" hidden="false" customHeight="true" outlineLevel="0" collapsed="false">
      <c r="A551" s="141"/>
      <c r="B551" s="142"/>
      <c r="C551" s="143"/>
      <c r="D551" s="144"/>
      <c r="E551" s="119"/>
      <c r="F551" s="120"/>
      <c r="G551" s="119"/>
      <c r="H551" s="120"/>
      <c r="I551" s="119"/>
      <c r="J551" s="120"/>
      <c r="K551" s="119"/>
      <c r="L551" s="120"/>
      <c r="M551" s="119"/>
      <c r="N551" s="120"/>
      <c r="O551" s="119"/>
      <c r="P551" s="120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customFormat="false" ht="14.25" hidden="false" customHeight="true" outlineLevel="0" collapsed="false">
      <c r="A552" s="141"/>
      <c r="B552" s="142"/>
      <c r="C552" s="143"/>
      <c r="D552" s="144"/>
      <c r="E552" s="119"/>
      <c r="F552" s="120"/>
      <c r="G552" s="119"/>
      <c r="H552" s="120"/>
      <c r="I552" s="119"/>
      <c r="J552" s="120"/>
      <c r="K552" s="119"/>
      <c r="L552" s="120"/>
      <c r="M552" s="119"/>
      <c r="N552" s="120"/>
      <c r="O552" s="119"/>
      <c r="P552" s="120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customFormat="false" ht="14.25" hidden="false" customHeight="true" outlineLevel="0" collapsed="false">
      <c r="A553" s="141"/>
      <c r="B553" s="142"/>
      <c r="C553" s="143"/>
      <c r="D553" s="144"/>
      <c r="E553" s="119"/>
      <c r="F553" s="120"/>
      <c r="G553" s="119"/>
      <c r="H553" s="120"/>
      <c r="I553" s="119"/>
      <c r="J553" s="120"/>
      <c r="K553" s="119"/>
      <c r="L553" s="120"/>
      <c r="M553" s="119"/>
      <c r="N553" s="120"/>
      <c r="O553" s="119"/>
      <c r="P553" s="120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customFormat="false" ht="14.25" hidden="false" customHeight="true" outlineLevel="0" collapsed="false">
      <c r="A554" s="141"/>
      <c r="B554" s="142"/>
      <c r="C554" s="143"/>
      <c r="D554" s="144"/>
      <c r="E554" s="119"/>
      <c r="F554" s="120"/>
      <c r="G554" s="119"/>
      <c r="H554" s="120"/>
      <c r="I554" s="119"/>
      <c r="J554" s="120"/>
      <c r="K554" s="119"/>
      <c r="L554" s="120"/>
      <c r="M554" s="119"/>
      <c r="N554" s="120"/>
      <c r="O554" s="119"/>
      <c r="P554" s="120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customFormat="false" ht="14.25" hidden="false" customHeight="true" outlineLevel="0" collapsed="false">
      <c r="A555" s="141"/>
      <c r="B555" s="142"/>
      <c r="C555" s="143"/>
      <c r="D555" s="144"/>
      <c r="E555" s="119"/>
      <c r="F555" s="120"/>
      <c r="G555" s="119"/>
      <c r="H555" s="120"/>
      <c r="I555" s="119"/>
      <c r="J555" s="120"/>
      <c r="K555" s="119"/>
      <c r="L555" s="120"/>
      <c r="M555" s="119"/>
      <c r="N555" s="120"/>
      <c r="O555" s="119"/>
      <c r="P555" s="120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customFormat="false" ht="14.25" hidden="false" customHeight="true" outlineLevel="0" collapsed="false">
      <c r="A556" s="141"/>
      <c r="B556" s="142"/>
      <c r="C556" s="143"/>
      <c r="D556" s="144"/>
      <c r="E556" s="119"/>
      <c r="F556" s="120"/>
      <c r="G556" s="119"/>
      <c r="H556" s="120"/>
      <c r="I556" s="119"/>
      <c r="J556" s="120"/>
      <c r="K556" s="119"/>
      <c r="L556" s="120"/>
      <c r="M556" s="119"/>
      <c r="N556" s="120"/>
      <c r="O556" s="119"/>
      <c r="P556" s="120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customFormat="false" ht="14.25" hidden="false" customHeight="true" outlineLevel="0" collapsed="false">
      <c r="A557" s="141"/>
      <c r="B557" s="142"/>
      <c r="C557" s="143"/>
      <c r="D557" s="144"/>
      <c r="E557" s="119"/>
      <c r="F557" s="120"/>
      <c r="G557" s="119"/>
      <c r="H557" s="120"/>
      <c r="I557" s="119"/>
      <c r="J557" s="120"/>
      <c r="K557" s="119"/>
      <c r="L557" s="120"/>
      <c r="M557" s="119"/>
      <c r="N557" s="120"/>
      <c r="O557" s="119"/>
      <c r="P557" s="120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customFormat="false" ht="14.25" hidden="false" customHeight="true" outlineLevel="0" collapsed="false">
      <c r="A558" s="141"/>
      <c r="B558" s="142"/>
      <c r="C558" s="143"/>
      <c r="D558" s="144"/>
      <c r="E558" s="119"/>
      <c r="F558" s="120"/>
      <c r="G558" s="119"/>
      <c r="H558" s="120"/>
      <c r="I558" s="119"/>
      <c r="J558" s="120"/>
      <c r="K558" s="119"/>
      <c r="L558" s="120"/>
      <c r="M558" s="119"/>
      <c r="N558" s="120"/>
      <c r="O558" s="119"/>
      <c r="P558" s="120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customFormat="false" ht="14.25" hidden="false" customHeight="true" outlineLevel="0" collapsed="false">
      <c r="A559" s="141"/>
      <c r="B559" s="142"/>
      <c r="C559" s="143"/>
      <c r="D559" s="144"/>
      <c r="E559" s="119"/>
      <c r="F559" s="120"/>
      <c r="G559" s="119"/>
      <c r="H559" s="120"/>
      <c r="I559" s="119"/>
      <c r="J559" s="120"/>
      <c r="K559" s="119"/>
      <c r="L559" s="120"/>
      <c r="M559" s="119"/>
      <c r="N559" s="120"/>
      <c r="O559" s="119"/>
      <c r="P559" s="120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customFormat="false" ht="14.25" hidden="false" customHeight="true" outlineLevel="0" collapsed="false">
      <c r="A560" s="141"/>
      <c r="B560" s="142"/>
      <c r="C560" s="143"/>
      <c r="D560" s="144"/>
      <c r="E560" s="119"/>
      <c r="F560" s="120"/>
      <c r="G560" s="119"/>
      <c r="H560" s="120"/>
      <c r="I560" s="119"/>
      <c r="J560" s="120"/>
      <c r="K560" s="119"/>
      <c r="L560" s="120"/>
      <c r="M560" s="119"/>
      <c r="N560" s="120"/>
      <c r="O560" s="119"/>
      <c r="P560" s="120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customFormat="false" ht="14.25" hidden="false" customHeight="true" outlineLevel="0" collapsed="false">
      <c r="A561" s="141"/>
      <c r="B561" s="142"/>
      <c r="C561" s="143"/>
      <c r="D561" s="144"/>
      <c r="E561" s="119"/>
      <c r="F561" s="120"/>
      <c r="G561" s="119"/>
      <c r="H561" s="120"/>
      <c r="I561" s="119"/>
      <c r="J561" s="120"/>
      <c r="K561" s="119"/>
      <c r="L561" s="120"/>
      <c r="M561" s="119"/>
      <c r="N561" s="120"/>
      <c r="O561" s="119"/>
      <c r="P561" s="120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customFormat="false" ht="14.25" hidden="false" customHeight="true" outlineLevel="0" collapsed="false">
      <c r="A562" s="141"/>
      <c r="B562" s="142"/>
      <c r="C562" s="143"/>
      <c r="D562" s="144"/>
      <c r="E562" s="119"/>
      <c r="F562" s="120"/>
      <c r="G562" s="119"/>
      <c r="H562" s="120"/>
      <c r="I562" s="119"/>
      <c r="J562" s="120"/>
      <c r="K562" s="119"/>
      <c r="L562" s="120"/>
      <c r="M562" s="119"/>
      <c r="N562" s="120"/>
      <c r="O562" s="119"/>
      <c r="P562" s="120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customFormat="false" ht="14.25" hidden="false" customHeight="true" outlineLevel="0" collapsed="false">
      <c r="A563" s="141"/>
      <c r="B563" s="142"/>
      <c r="C563" s="143"/>
      <c r="D563" s="144"/>
      <c r="E563" s="119"/>
      <c r="F563" s="120"/>
      <c r="G563" s="119"/>
      <c r="H563" s="120"/>
      <c r="I563" s="119"/>
      <c r="J563" s="120"/>
      <c r="K563" s="119"/>
      <c r="L563" s="120"/>
      <c r="M563" s="119"/>
      <c r="N563" s="120"/>
      <c r="O563" s="119"/>
      <c r="P563" s="120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customFormat="false" ht="14.25" hidden="false" customHeight="true" outlineLevel="0" collapsed="false">
      <c r="A564" s="141"/>
      <c r="B564" s="142"/>
      <c r="C564" s="143"/>
      <c r="D564" s="144"/>
      <c r="E564" s="119"/>
      <c r="F564" s="120"/>
      <c r="G564" s="119"/>
      <c r="H564" s="120"/>
      <c r="I564" s="119"/>
      <c r="J564" s="120"/>
      <c r="K564" s="119"/>
      <c r="L564" s="120"/>
      <c r="M564" s="119"/>
      <c r="N564" s="120"/>
      <c r="O564" s="119"/>
      <c r="P564" s="120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customFormat="false" ht="14.25" hidden="false" customHeight="true" outlineLevel="0" collapsed="false">
      <c r="A565" s="141"/>
      <c r="B565" s="142"/>
      <c r="C565" s="143"/>
      <c r="D565" s="144"/>
      <c r="E565" s="119"/>
      <c r="F565" s="120"/>
      <c r="G565" s="119"/>
      <c r="H565" s="120"/>
      <c r="I565" s="119"/>
      <c r="J565" s="120"/>
      <c r="K565" s="119"/>
      <c r="L565" s="120"/>
      <c r="M565" s="119"/>
      <c r="N565" s="120"/>
      <c r="O565" s="119"/>
      <c r="P565" s="120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customFormat="false" ht="14.25" hidden="false" customHeight="true" outlineLevel="0" collapsed="false">
      <c r="A566" s="141"/>
      <c r="B566" s="142"/>
      <c r="C566" s="143"/>
      <c r="D566" s="144"/>
      <c r="E566" s="119"/>
      <c r="F566" s="120"/>
      <c r="G566" s="119"/>
      <c r="H566" s="120"/>
      <c r="I566" s="119"/>
      <c r="J566" s="120"/>
      <c r="K566" s="119"/>
      <c r="L566" s="120"/>
      <c r="M566" s="119"/>
      <c r="N566" s="120"/>
      <c r="O566" s="119"/>
      <c r="P566" s="120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customFormat="false" ht="14.25" hidden="false" customHeight="true" outlineLevel="0" collapsed="false">
      <c r="A567" s="141"/>
      <c r="B567" s="142"/>
      <c r="C567" s="143"/>
      <c r="D567" s="144"/>
      <c r="E567" s="119"/>
      <c r="F567" s="120"/>
      <c r="G567" s="119"/>
      <c r="H567" s="120"/>
      <c r="I567" s="119"/>
      <c r="J567" s="120"/>
      <c r="K567" s="119"/>
      <c r="L567" s="120"/>
      <c r="M567" s="119"/>
      <c r="N567" s="120"/>
      <c r="O567" s="119"/>
      <c r="P567" s="120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customFormat="false" ht="14.25" hidden="false" customHeight="true" outlineLevel="0" collapsed="false">
      <c r="A568" s="141"/>
      <c r="B568" s="142"/>
      <c r="C568" s="143"/>
      <c r="D568" s="144"/>
      <c r="E568" s="119"/>
      <c r="F568" s="120"/>
      <c r="G568" s="119"/>
      <c r="H568" s="120"/>
      <c r="I568" s="119"/>
      <c r="J568" s="120"/>
      <c r="K568" s="119"/>
      <c r="L568" s="120"/>
      <c r="M568" s="119"/>
      <c r="N568" s="120"/>
      <c r="O568" s="119"/>
      <c r="P568" s="120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customFormat="false" ht="14.25" hidden="false" customHeight="true" outlineLevel="0" collapsed="false">
      <c r="A569" s="141"/>
      <c r="B569" s="142"/>
      <c r="C569" s="143"/>
      <c r="D569" s="144"/>
      <c r="E569" s="119"/>
      <c r="F569" s="120"/>
      <c r="G569" s="119"/>
      <c r="H569" s="120"/>
      <c r="I569" s="119"/>
      <c r="J569" s="120"/>
      <c r="K569" s="119"/>
      <c r="L569" s="120"/>
      <c r="M569" s="119"/>
      <c r="N569" s="120"/>
      <c r="O569" s="119"/>
      <c r="P569" s="120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customFormat="false" ht="14.25" hidden="false" customHeight="true" outlineLevel="0" collapsed="false">
      <c r="A570" s="141"/>
      <c r="B570" s="142"/>
      <c r="C570" s="143"/>
      <c r="D570" s="144"/>
      <c r="E570" s="119"/>
      <c r="F570" s="120"/>
      <c r="G570" s="119"/>
      <c r="H570" s="120"/>
      <c r="I570" s="119"/>
      <c r="J570" s="120"/>
      <c r="K570" s="119"/>
      <c r="L570" s="120"/>
      <c r="M570" s="119"/>
      <c r="N570" s="120"/>
      <c r="O570" s="119"/>
      <c r="P570" s="120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customFormat="false" ht="14.25" hidden="false" customHeight="true" outlineLevel="0" collapsed="false">
      <c r="A571" s="141"/>
      <c r="B571" s="142"/>
      <c r="C571" s="143"/>
      <c r="D571" s="144"/>
      <c r="E571" s="119"/>
      <c r="F571" s="120"/>
      <c r="G571" s="119"/>
      <c r="H571" s="120"/>
      <c r="I571" s="119"/>
      <c r="J571" s="120"/>
      <c r="K571" s="119"/>
      <c r="L571" s="120"/>
      <c r="M571" s="119"/>
      <c r="N571" s="120"/>
      <c r="O571" s="119"/>
      <c r="P571" s="120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customFormat="false" ht="14.25" hidden="false" customHeight="true" outlineLevel="0" collapsed="false">
      <c r="A572" s="141"/>
      <c r="B572" s="142"/>
      <c r="C572" s="143"/>
      <c r="D572" s="144"/>
      <c r="E572" s="119"/>
      <c r="F572" s="120"/>
      <c r="G572" s="119"/>
      <c r="H572" s="120"/>
      <c r="I572" s="119"/>
      <c r="J572" s="120"/>
      <c r="K572" s="119"/>
      <c r="L572" s="120"/>
      <c r="M572" s="119"/>
      <c r="N572" s="120"/>
      <c r="O572" s="119"/>
      <c r="P572" s="120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customFormat="false" ht="14.25" hidden="false" customHeight="true" outlineLevel="0" collapsed="false">
      <c r="A573" s="141"/>
      <c r="B573" s="142"/>
      <c r="C573" s="143"/>
      <c r="D573" s="144"/>
      <c r="E573" s="119"/>
      <c r="F573" s="120"/>
      <c r="G573" s="119"/>
      <c r="H573" s="120"/>
      <c r="I573" s="119"/>
      <c r="J573" s="120"/>
      <c r="K573" s="119"/>
      <c r="L573" s="120"/>
      <c r="M573" s="119"/>
      <c r="N573" s="120"/>
      <c r="O573" s="119"/>
      <c r="P573" s="120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customFormat="false" ht="14.25" hidden="false" customHeight="true" outlineLevel="0" collapsed="false">
      <c r="A574" s="141"/>
      <c r="B574" s="142"/>
      <c r="C574" s="143"/>
      <c r="D574" s="144"/>
      <c r="E574" s="119"/>
      <c r="F574" s="120"/>
      <c r="G574" s="119"/>
      <c r="H574" s="120"/>
      <c r="I574" s="119"/>
      <c r="J574" s="120"/>
      <c r="K574" s="119"/>
      <c r="L574" s="120"/>
      <c r="M574" s="119"/>
      <c r="N574" s="120"/>
      <c r="O574" s="119"/>
      <c r="P574" s="120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customFormat="false" ht="14.25" hidden="false" customHeight="true" outlineLevel="0" collapsed="false">
      <c r="A575" s="141"/>
      <c r="B575" s="142"/>
      <c r="C575" s="143"/>
      <c r="D575" s="144"/>
      <c r="E575" s="119"/>
      <c r="F575" s="120"/>
      <c r="G575" s="119"/>
      <c r="H575" s="120"/>
      <c r="I575" s="119"/>
      <c r="J575" s="120"/>
      <c r="K575" s="119"/>
      <c r="L575" s="120"/>
      <c r="M575" s="119"/>
      <c r="N575" s="120"/>
      <c r="O575" s="119"/>
      <c r="P575" s="120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customFormat="false" ht="14.25" hidden="false" customHeight="true" outlineLevel="0" collapsed="false">
      <c r="A576" s="141"/>
      <c r="B576" s="142"/>
      <c r="C576" s="143"/>
      <c r="D576" s="144"/>
      <c r="E576" s="119"/>
      <c r="F576" s="120"/>
      <c r="G576" s="119"/>
      <c r="H576" s="120"/>
      <c r="I576" s="119"/>
      <c r="J576" s="120"/>
      <c r="K576" s="119"/>
      <c r="L576" s="120"/>
      <c r="M576" s="119"/>
      <c r="N576" s="120"/>
      <c r="O576" s="119"/>
      <c r="P576" s="120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customFormat="false" ht="14.25" hidden="false" customHeight="true" outlineLevel="0" collapsed="false">
      <c r="A577" s="141"/>
      <c r="B577" s="142"/>
      <c r="C577" s="143"/>
      <c r="D577" s="144"/>
      <c r="E577" s="119"/>
      <c r="F577" s="120"/>
      <c r="G577" s="119"/>
      <c r="H577" s="120"/>
      <c r="I577" s="119"/>
      <c r="J577" s="120"/>
      <c r="K577" s="119"/>
      <c r="L577" s="120"/>
      <c r="M577" s="119"/>
      <c r="N577" s="120"/>
      <c r="O577" s="119"/>
      <c r="P577" s="120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customFormat="false" ht="14.25" hidden="false" customHeight="true" outlineLevel="0" collapsed="false">
      <c r="A578" s="141"/>
      <c r="B578" s="142"/>
      <c r="C578" s="143"/>
      <c r="D578" s="144"/>
      <c r="E578" s="119"/>
      <c r="F578" s="120"/>
      <c r="G578" s="119"/>
      <c r="H578" s="120"/>
      <c r="I578" s="119"/>
      <c r="J578" s="120"/>
      <c r="K578" s="119"/>
      <c r="L578" s="120"/>
      <c r="M578" s="119"/>
      <c r="N578" s="120"/>
      <c r="O578" s="119"/>
      <c r="P578" s="120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customFormat="false" ht="14.25" hidden="false" customHeight="true" outlineLevel="0" collapsed="false">
      <c r="A579" s="141"/>
      <c r="B579" s="142"/>
      <c r="C579" s="143"/>
      <c r="D579" s="144"/>
      <c r="E579" s="119"/>
      <c r="F579" s="120"/>
      <c r="G579" s="119"/>
      <c r="H579" s="120"/>
      <c r="I579" s="119"/>
      <c r="J579" s="120"/>
      <c r="K579" s="119"/>
      <c r="L579" s="120"/>
      <c r="M579" s="119"/>
      <c r="N579" s="120"/>
      <c r="O579" s="119"/>
      <c r="P579" s="120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customFormat="false" ht="14.25" hidden="false" customHeight="true" outlineLevel="0" collapsed="false">
      <c r="A580" s="141"/>
      <c r="B580" s="142"/>
      <c r="C580" s="143"/>
      <c r="D580" s="144"/>
      <c r="E580" s="119"/>
      <c r="F580" s="120"/>
      <c r="G580" s="119"/>
      <c r="H580" s="120"/>
      <c r="I580" s="119"/>
      <c r="J580" s="120"/>
      <c r="K580" s="119"/>
      <c r="L580" s="120"/>
      <c r="M580" s="119"/>
      <c r="N580" s="120"/>
      <c r="O580" s="119"/>
      <c r="P580" s="120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customFormat="false" ht="14.25" hidden="false" customHeight="true" outlineLevel="0" collapsed="false">
      <c r="A581" s="141"/>
      <c r="B581" s="142"/>
      <c r="C581" s="143"/>
      <c r="D581" s="144"/>
      <c r="E581" s="119"/>
      <c r="F581" s="120"/>
      <c r="G581" s="119"/>
      <c r="H581" s="120"/>
      <c r="I581" s="119"/>
      <c r="J581" s="120"/>
      <c r="K581" s="119"/>
      <c r="L581" s="120"/>
      <c r="M581" s="119"/>
      <c r="N581" s="120"/>
      <c r="O581" s="119"/>
      <c r="P581" s="120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customFormat="false" ht="14.25" hidden="false" customHeight="true" outlineLevel="0" collapsed="false">
      <c r="A582" s="141"/>
      <c r="B582" s="142"/>
      <c r="C582" s="143"/>
      <c r="D582" s="144"/>
      <c r="E582" s="119"/>
      <c r="F582" s="120"/>
      <c r="G582" s="119"/>
      <c r="H582" s="120"/>
      <c r="I582" s="119"/>
      <c r="J582" s="120"/>
      <c r="K582" s="119"/>
      <c r="L582" s="120"/>
      <c r="M582" s="119"/>
      <c r="N582" s="120"/>
      <c r="O582" s="119"/>
      <c r="P582" s="120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customFormat="false" ht="14.25" hidden="false" customHeight="true" outlineLevel="0" collapsed="false">
      <c r="A583" s="141"/>
      <c r="B583" s="142"/>
      <c r="C583" s="143"/>
      <c r="D583" s="144"/>
      <c r="E583" s="119"/>
      <c r="F583" s="120"/>
      <c r="G583" s="119"/>
      <c r="H583" s="120"/>
      <c r="I583" s="119"/>
      <c r="J583" s="120"/>
      <c r="K583" s="119"/>
      <c r="L583" s="120"/>
      <c r="M583" s="119"/>
      <c r="N583" s="120"/>
      <c r="O583" s="119"/>
      <c r="P583" s="120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customFormat="false" ht="14.25" hidden="false" customHeight="true" outlineLevel="0" collapsed="false">
      <c r="A584" s="141"/>
      <c r="B584" s="142"/>
      <c r="C584" s="143"/>
      <c r="D584" s="144"/>
      <c r="E584" s="119"/>
      <c r="F584" s="120"/>
      <c r="G584" s="119"/>
      <c r="H584" s="120"/>
      <c r="I584" s="119"/>
      <c r="J584" s="120"/>
      <c r="K584" s="119"/>
      <c r="L584" s="120"/>
      <c r="M584" s="119"/>
      <c r="N584" s="120"/>
      <c r="O584" s="119"/>
      <c r="P584" s="120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customFormat="false" ht="14.25" hidden="false" customHeight="true" outlineLevel="0" collapsed="false">
      <c r="A585" s="141"/>
      <c r="B585" s="142"/>
      <c r="C585" s="143"/>
      <c r="D585" s="144"/>
      <c r="E585" s="119"/>
      <c r="F585" s="120"/>
      <c r="G585" s="119"/>
      <c r="H585" s="120"/>
      <c r="I585" s="119"/>
      <c r="J585" s="120"/>
      <c r="K585" s="119"/>
      <c r="L585" s="120"/>
      <c r="M585" s="119"/>
      <c r="N585" s="120"/>
      <c r="O585" s="119"/>
      <c r="P585" s="120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customFormat="false" ht="14.25" hidden="false" customHeight="true" outlineLevel="0" collapsed="false">
      <c r="A586" s="141"/>
      <c r="B586" s="142"/>
      <c r="C586" s="143"/>
      <c r="D586" s="144"/>
      <c r="E586" s="119"/>
      <c r="F586" s="120"/>
      <c r="G586" s="119"/>
      <c r="H586" s="120"/>
      <c r="I586" s="119"/>
      <c r="J586" s="120"/>
      <c r="K586" s="119"/>
      <c r="L586" s="120"/>
      <c r="M586" s="119"/>
      <c r="N586" s="120"/>
      <c r="O586" s="119"/>
      <c r="P586" s="120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customFormat="false" ht="14.25" hidden="false" customHeight="true" outlineLevel="0" collapsed="false">
      <c r="A587" s="141"/>
      <c r="B587" s="142"/>
      <c r="C587" s="143"/>
      <c r="D587" s="144"/>
      <c r="E587" s="119"/>
      <c r="F587" s="120"/>
      <c r="G587" s="119"/>
      <c r="H587" s="120"/>
      <c r="I587" s="119"/>
      <c r="J587" s="120"/>
      <c r="K587" s="119"/>
      <c r="L587" s="120"/>
      <c r="M587" s="119"/>
      <c r="N587" s="120"/>
      <c r="O587" s="119"/>
      <c r="P587" s="120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customFormat="false" ht="14.25" hidden="false" customHeight="true" outlineLevel="0" collapsed="false">
      <c r="A588" s="141"/>
      <c r="B588" s="142"/>
      <c r="C588" s="143"/>
      <c r="D588" s="144"/>
      <c r="E588" s="119"/>
      <c r="F588" s="120"/>
      <c r="G588" s="119"/>
      <c r="H588" s="120"/>
      <c r="I588" s="119"/>
      <c r="J588" s="120"/>
      <c r="K588" s="119"/>
      <c r="L588" s="120"/>
      <c r="M588" s="119"/>
      <c r="N588" s="120"/>
      <c r="O588" s="119"/>
      <c r="P588" s="120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customFormat="false" ht="14.25" hidden="false" customHeight="true" outlineLevel="0" collapsed="false">
      <c r="A589" s="141"/>
      <c r="B589" s="142"/>
      <c r="C589" s="143"/>
      <c r="D589" s="144"/>
      <c r="E589" s="119"/>
      <c r="F589" s="120"/>
      <c r="G589" s="119"/>
      <c r="H589" s="120"/>
      <c r="I589" s="119"/>
      <c r="J589" s="120"/>
      <c r="K589" s="119"/>
      <c r="L589" s="120"/>
      <c r="M589" s="119"/>
      <c r="N589" s="120"/>
      <c r="O589" s="119"/>
      <c r="P589" s="120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customFormat="false" ht="14.25" hidden="false" customHeight="true" outlineLevel="0" collapsed="false">
      <c r="A590" s="141"/>
      <c r="B590" s="142"/>
      <c r="C590" s="143"/>
      <c r="D590" s="144"/>
      <c r="E590" s="119"/>
      <c r="F590" s="120"/>
      <c r="G590" s="119"/>
      <c r="H590" s="120"/>
      <c r="I590" s="119"/>
      <c r="J590" s="120"/>
      <c r="K590" s="119"/>
      <c r="L590" s="120"/>
      <c r="M590" s="119"/>
      <c r="N590" s="120"/>
      <c r="O590" s="119"/>
      <c r="P590" s="120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customFormat="false" ht="14.25" hidden="false" customHeight="true" outlineLevel="0" collapsed="false">
      <c r="A591" s="141"/>
      <c r="B591" s="142"/>
      <c r="C591" s="143"/>
      <c r="D591" s="144"/>
      <c r="E591" s="119"/>
      <c r="F591" s="120"/>
      <c r="G591" s="119"/>
      <c r="H591" s="120"/>
      <c r="I591" s="119"/>
      <c r="J591" s="120"/>
      <c r="K591" s="119"/>
      <c r="L591" s="120"/>
      <c r="M591" s="119"/>
      <c r="N591" s="120"/>
      <c r="O591" s="119"/>
      <c r="P591" s="120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customFormat="false" ht="14.25" hidden="false" customHeight="true" outlineLevel="0" collapsed="false">
      <c r="A592" s="141"/>
      <c r="B592" s="142"/>
      <c r="C592" s="143"/>
      <c r="D592" s="144"/>
      <c r="E592" s="119"/>
      <c r="F592" s="120"/>
      <c r="G592" s="119"/>
      <c r="H592" s="120"/>
      <c r="I592" s="119"/>
      <c r="J592" s="120"/>
      <c r="K592" s="119"/>
      <c r="L592" s="120"/>
      <c r="M592" s="119"/>
      <c r="N592" s="120"/>
      <c r="O592" s="119"/>
      <c r="P592" s="120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customFormat="false" ht="14.25" hidden="false" customHeight="true" outlineLevel="0" collapsed="false">
      <c r="A593" s="141"/>
      <c r="B593" s="142"/>
      <c r="C593" s="143"/>
      <c r="D593" s="144"/>
      <c r="E593" s="119"/>
      <c r="F593" s="120"/>
      <c r="G593" s="119"/>
      <c r="H593" s="120"/>
      <c r="I593" s="119"/>
      <c r="J593" s="120"/>
      <c r="K593" s="119"/>
      <c r="L593" s="120"/>
      <c r="M593" s="119"/>
      <c r="N593" s="120"/>
      <c r="O593" s="119"/>
      <c r="P593" s="120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customFormat="false" ht="14.25" hidden="false" customHeight="true" outlineLevel="0" collapsed="false">
      <c r="A594" s="141"/>
      <c r="B594" s="142"/>
      <c r="C594" s="143"/>
      <c r="D594" s="144"/>
      <c r="E594" s="119"/>
      <c r="F594" s="120"/>
      <c r="G594" s="119"/>
      <c r="H594" s="120"/>
      <c r="I594" s="119"/>
      <c r="J594" s="120"/>
      <c r="K594" s="119"/>
      <c r="L594" s="120"/>
      <c r="M594" s="119"/>
      <c r="N594" s="120"/>
      <c r="O594" s="119"/>
      <c r="P594" s="120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customFormat="false" ht="14.25" hidden="false" customHeight="true" outlineLevel="0" collapsed="false">
      <c r="A595" s="141"/>
      <c r="B595" s="142"/>
      <c r="C595" s="143"/>
      <c r="D595" s="144"/>
      <c r="E595" s="119"/>
      <c r="F595" s="120"/>
      <c r="G595" s="119"/>
      <c r="H595" s="120"/>
      <c r="I595" s="119"/>
      <c r="J595" s="120"/>
      <c r="K595" s="119"/>
      <c r="L595" s="120"/>
      <c r="M595" s="119"/>
      <c r="N595" s="120"/>
      <c r="O595" s="119"/>
      <c r="P595" s="120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customFormat="false" ht="14.25" hidden="false" customHeight="true" outlineLevel="0" collapsed="false">
      <c r="A596" s="141"/>
      <c r="B596" s="142"/>
      <c r="C596" s="143"/>
      <c r="D596" s="144"/>
      <c r="E596" s="119"/>
      <c r="F596" s="120"/>
      <c r="G596" s="119"/>
      <c r="H596" s="120"/>
      <c r="I596" s="119"/>
      <c r="J596" s="120"/>
      <c r="K596" s="119"/>
      <c r="L596" s="120"/>
      <c r="M596" s="119"/>
      <c r="N596" s="120"/>
      <c r="O596" s="119"/>
      <c r="P596" s="120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customFormat="false" ht="14.25" hidden="false" customHeight="true" outlineLevel="0" collapsed="false">
      <c r="A597" s="141"/>
      <c r="B597" s="142"/>
      <c r="C597" s="143"/>
      <c r="D597" s="144"/>
      <c r="E597" s="119"/>
      <c r="F597" s="120"/>
      <c r="G597" s="119"/>
      <c r="H597" s="120"/>
      <c r="I597" s="119"/>
      <c r="J597" s="120"/>
      <c r="K597" s="119"/>
      <c r="L597" s="120"/>
      <c r="M597" s="119"/>
      <c r="N597" s="120"/>
      <c r="O597" s="119"/>
      <c r="P597" s="120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customFormat="false" ht="14.25" hidden="false" customHeight="true" outlineLevel="0" collapsed="false">
      <c r="A598" s="141"/>
      <c r="B598" s="142"/>
      <c r="C598" s="143"/>
      <c r="D598" s="144"/>
      <c r="E598" s="119"/>
      <c r="F598" s="120"/>
      <c r="G598" s="119"/>
      <c r="H598" s="120"/>
      <c r="I598" s="119"/>
      <c r="J598" s="120"/>
      <c r="K598" s="119"/>
      <c r="L598" s="120"/>
      <c r="M598" s="119"/>
      <c r="N598" s="120"/>
      <c r="O598" s="119"/>
      <c r="P598" s="120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customFormat="false" ht="14.25" hidden="false" customHeight="true" outlineLevel="0" collapsed="false">
      <c r="A599" s="141"/>
      <c r="B599" s="142"/>
      <c r="C599" s="143"/>
      <c r="D599" s="144"/>
      <c r="E599" s="119"/>
      <c r="F599" s="120"/>
      <c r="G599" s="119"/>
      <c r="H599" s="120"/>
      <c r="I599" s="119"/>
      <c r="J599" s="120"/>
      <c r="K599" s="119"/>
      <c r="L599" s="120"/>
      <c r="M599" s="119"/>
      <c r="N599" s="120"/>
      <c r="O599" s="119"/>
      <c r="P599" s="120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customFormat="false" ht="14.25" hidden="false" customHeight="true" outlineLevel="0" collapsed="false">
      <c r="A600" s="141"/>
      <c r="B600" s="142"/>
      <c r="C600" s="143"/>
      <c r="D600" s="144"/>
      <c r="E600" s="119"/>
      <c r="F600" s="120"/>
      <c r="G600" s="119"/>
      <c r="H600" s="120"/>
      <c r="I600" s="119"/>
      <c r="J600" s="120"/>
      <c r="K600" s="119"/>
      <c r="L600" s="120"/>
      <c r="M600" s="119"/>
      <c r="N600" s="120"/>
      <c r="O600" s="119"/>
      <c r="P600" s="120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customFormat="false" ht="14.25" hidden="false" customHeight="true" outlineLevel="0" collapsed="false">
      <c r="A601" s="141"/>
      <c r="B601" s="142"/>
      <c r="C601" s="143"/>
      <c r="D601" s="144"/>
      <c r="E601" s="119"/>
      <c r="F601" s="120"/>
      <c r="G601" s="119"/>
      <c r="H601" s="120"/>
      <c r="I601" s="119"/>
      <c r="J601" s="120"/>
      <c r="K601" s="119"/>
      <c r="L601" s="120"/>
      <c r="M601" s="119"/>
      <c r="N601" s="120"/>
      <c r="O601" s="119"/>
      <c r="P601" s="120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customFormat="false" ht="14.25" hidden="false" customHeight="true" outlineLevel="0" collapsed="false">
      <c r="A602" s="141"/>
      <c r="B602" s="142"/>
      <c r="C602" s="143"/>
      <c r="D602" s="144"/>
      <c r="E602" s="119"/>
      <c r="F602" s="120"/>
      <c r="G602" s="119"/>
      <c r="H602" s="120"/>
      <c r="I602" s="119"/>
      <c r="J602" s="120"/>
      <c r="K602" s="119"/>
      <c r="L602" s="120"/>
      <c r="M602" s="119"/>
      <c r="N602" s="120"/>
      <c r="O602" s="119"/>
      <c r="P602" s="120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customFormat="false" ht="14.25" hidden="false" customHeight="true" outlineLevel="0" collapsed="false">
      <c r="A603" s="141"/>
      <c r="B603" s="142"/>
      <c r="C603" s="143"/>
      <c r="D603" s="144"/>
      <c r="E603" s="119"/>
      <c r="F603" s="120"/>
      <c r="G603" s="119"/>
      <c r="H603" s="120"/>
      <c r="I603" s="119"/>
      <c r="J603" s="120"/>
      <c r="K603" s="119"/>
      <c r="L603" s="120"/>
      <c r="M603" s="119"/>
      <c r="N603" s="120"/>
      <c r="O603" s="119"/>
      <c r="P603" s="120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customFormat="false" ht="14.25" hidden="false" customHeight="true" outlineLevel="0" collapsed="false">
      <c r="A604" s="141"/>
      <c r="B604" s="142"/>
      <c r="C604" s="143"/>
      <c r="D604" s="144"/>
      <c r="E604" s="119"/>
      <c r="F604" s="120"/>
      <c r="G604" s="119"/>
      <c r="H604" s="120"/>
      <c r="I604" s="119"/>
      <c r="J604" s="120"/>
      <c r="K604" s="119"/>
      <c r="L604" s="120"/>
      <c r="M604" s="119"/>
      <c r="N604" s="120"/>
      <c r="O604" s="119"/>
      <c r="P604" s="120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customFormat="false" ht="14.25" hidden="false" customHeight="true" outlineLevel="0" collapsed="false">
      <c r="A605" s="141"/>
      <c r="B605" s="142"/>
      <c r="C605" s="143"/>
      <c r="D605" s="144"/>
      <c r="E605" s="119"/>
      <c r="F605" s="120"/>
      <c r="G605" s="119"/>
      <c r="H605" s="120"/>
      <c r="I605" s="119"/>
      <c r="J605" s="120"/>
      <c r="K605" s="119"/>
      <c r="L605" s="120"/>
      <c r="M605" s="119"/>
      <c r="N605" s="120"/>
      <c r="O605" s="119"/>
      <c r="P605" s="120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customFormat="false" ht="14.25" hidden="false" customHeight="true" outlineLevel="0" collapsed="false">
      <c r="A606" s="141"/>
      <c r="B606" s="142"/>
      <c r="C606" s="143"/>
      <c r="D606" s="144"/>
      <c r="E606" s="119"/>
      <c r="F606" s="120"/>
      <c r="G606" s="119"/>
      <c r="H606" s="120"/>
      <c r="I606" s="119"/>
      <c r="J606" s="120"/>
      <c r="K606" s="119"/>
      <c r="L606" s="120"/>
      <c r="M606" s="119"/>
      <c r="N606" s="120"/>
      <c r="O606" s="119"/>
      <c r="P606" s="120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customFormat="false" ht="14.25" hidden="false" customHeight="true" outlineLevel="0" collapsed="false">
      <c r="A607" s="141"/>
      <c r="B607" s="142"/>
      <c r="C607" s="143"/>
      <c r="D607" s="144"/>
      <c r="E607" s="119"/>
      <c r="F607" s="120"/>
      <c r="G607" s="119"/>
      <c r="H607" s="120"/>
      <c r="I607" s="119"/>
      <c r="J607" s="120"/>
      <c r="K607" s="119"/>
      <c r="L607" s="120"/>
      <c r="M607" s="119"/>
      <c r="N607" s="120"/>
      <c r="O607" s="119"/>
      <c r="P607" s="120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customFormat="false" ht="14.25" hidden="false" customHeight="true" outlineLevel="0" collapsed="false">
      <c r="A608" s="141"/>
      <c r="B608" s="142"/>
      <c r="C608" s="143"/>
      <c r="D608" s="144"/>
      <c r="E608" s="119"/>
      <c r="F608" s="120"/>
      <c r="G608" s="119"/>
      <c r="H608" s="120"/>
      <c r="I608" s="119"/>
      <c r="J608" s="120"/>
      <c r="K608" s="119"/>
      <c r="L608" s="120"/>
      <c r="M608" s="119"/>
      <c r="N608" s="120"/>
      <c r="O608" s="119"/>
      <c r="P608" s="120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customFormat="false" ht="14.25" hidden="false" customHeight="true" outlineLevel="0" collapsed="false">
      <c r="A609" s="141"/>
      <c r="B609" s="142"/>
      <c r="C609" s="143"/>
      <c r="D609" s="144"/>
      <c r="E609" s="119"/>
      <c r="F609" s="120"/>
      <c r="G609" s="119"/>
      <c r="H609" s="120"/>
      <c r="I609" s="119"/>
      <c r="J609" s="120"/>
      <c r="K609" s="119"/>
      <c r="L609" s="120"/>
      <c r="M609" s="119"/>
      <c r="N609" s="120"/>
      <c r="O609" s="119"/>
      <c r="P609" s="120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customFormat="false" ht="14.25" hidden="false" customHeight="true" outlineLevel="0" collapsed="false">
      <c r="A610" s="141"/>
      <c r="B610" s="142"/>
      <c r="C610" s="143"/>
      <c r="D610" s="144"/>
      <c r="E610" s="119"/>
      <c r="F610" s="120"/>
      <c r="G610" s="119"/>
      <c r="H610" s="120"/>
      <c r="I610" s="119"/>
      <c r="J610" s="120"/>
      <c r="K610" s="119"/>
      <c r="L610" s="120"/>
      <c r="M610" s="119"/>
      <c r="N610" s="120"/>
      <c r="O610" s="119"/>
      <c r="P610" s="120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customFormat="false" ht="14.25" hidden="false" customHeight="true" outlineLevel="0" collapsed="false">
      <c r="A611" s="141"/>
      <c r="B611" s="142"/>
      <c r="C611" s="143"/>
      <c r="D611" s="144"/>
      <c r="E611" s="119"/>
      <c r="F611" s="120"/>
      <c r="G611" s="119"/>
      <c r="H611" s="120"/>
      <c r="I611" s="119"/>
      <c r="J611" s="120"/>
      <c r="K611" s="119"/>
      <c r="L611" s="120"/>
      <c r="M611" s="119"/>
      <c r="N611" s="120"/>
      <c r="O611" s="119"/>
      <c r="P611" s="120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customFormat="false" ht="14.25" hidden="false" customHeight="true" outlineLevel="0" collapsed="false">
      <c r="A612" s="141"/>
      <c r="B612" s="142"/>
      <c r="C612" s="143"/>
      <c r="D612" s="144"/>
      <c r="E612" s="119"/>
      <c r="F612" s="120"/>
      <c r="G612" s="119"/>
      <c r="H612" s="120"/>
      <c r="I612" s="119"/>
      <c r="J612" s="120"/>
      <c r="K612" s="119"/>
      <c r="L612" s="120"/>
      <c r="M612" s="119"/>
      <c r="N612" s="120"/>
      <c r="O612" s="119"/>
      <c r="P612" s="120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customFormat="false" ht="14.25" hidden="false" customHeight="true" outlineLevel="0" collapsed="false">
      <c r="A613" s="141"/>
      <c r="B613" s="142"/>
      <c r="C613" s="143"/>
      <c r="D613" s="144"/>
      <c r="E613" s="119"/>
      <c r="F613" s="120"/>
      <c r="G613" s="119"/>
      <c r="H613" s="120"/>
      <c r="I613" s="119"/>
      <c r="J613" s="120"/>
      <c r="K613" s="119"/>
      <c r="L613" s="120"/>
      <c r="M613" s="119"/>
      <c r="N613" s="120"/>
      <c r="O613" s="119"/>
      <c r="P613" s="120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customFormat="false" ht="14.25" hidden="false" customHeight="true" outlineLevel="0" collapsed="false">
      <c r="A614" s="141"/>
      <c r="B614" s="142"/>
      <c r="C614" s="143"/>
      <c r="D614" s="144"/>
      <c r="E614" s="119"/>
      <c r="F614" s="120"/>
      <c r="G614" s="119"/>
      <c r="H614" s="120"/>
      <c r="I614" s="119"/>
      <c r="J614" s="120"/>
      <c r="K614" s="119"/>
      <c r="L614" s="120"/>
      <c r="M614" s="119"/>
      <c r="N614" s="120"/>
      <c r="O614" s="119"/>
      <c r="P614" s="120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customFormat="false" ht="14.25" hidden="false" customHeight="true" outlineLevel="0" collapsed="false">
      <c r="A615" s="141"/>
      <c r="B615" s="142"/>
      <c r="C615" s="143"/>
      <c r="D615" s="144"/>
      <c r="E615" s="119"/>
      <c r="F615" s="120"/>
      <c r="G615" s="119"/>
      <c r="H615" s="120"/>
      <c r="I615" s="119"/>
      <c r="J615" s="120"/>
      <c r="K615" s="119"/>
      <c r="L615" s="120"/>
      <c r="M615" s="119"/>
      <c r="N615" s="120"/>
      <c r="O615" s="119"/>
      <c r="P615" s="120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customFormat="false" ht="14.25" hidden="false" customHeight="true" outlineLevel="0" collapsed="false">
      <c r="A616" s="141"/>
      <c r="B616" s="142"/>
      <c r="C616" s="143"/>
      <c r="D616" s="144"/>
      <c r="E616" s="119"/>
      <c r="F616" s="120"/>
      <c r="G616" s="119"/>
      <c r="H616" s="120"/>
      <c r="I616" s="119"/>
      <c r="J616" s="120"/>
      <c r="K616" s="119"/>
      <c r="L616" s="120"/>
      <c r="M616" s="119"/>
      <c r="N616" s="120"/>
      <c r="O616" s="119"/>
      <c r="P616" s="120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customFormat="false" ht="14.25" hidden="false" customHeight="true" outlineLevel="0" collapsed="false">
      <c r="A617" s="141"/>
      <c r="B617" s="142"/>
      <c r="C617" s="143"/>
      <c r="D617" s="144"/>
      <c r="E617" s="119"/>
      <c r="F617" s="120"/>
      <c r="G617" s="119"/>
      <c r="H617" s="120"/>
      <c r="I617" s="119"/>
      <c r="J617" s="120"/>
      <c r="K617" s="119"/>
      <c r="L617" s="120"/>
      <c r="M617" s="119"/>
      <c r="N617" s="120"/>
      <c r="O617" s="119"/>
      <c r="P617" s="120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customFormat="false" ht="14.25" hidden="false" customHeight="true" outlineLevel="0" collapsed="false">
      <c r="A618" s="141"/>
      <c r="B618" s="142"/>
      <c r="C618" s="143"/>
      <c r="D618" s="144"/>
      <c r="E618" s="119"/>
      <c r="F618" s="120"/>
      <c r="G618" s="119"/>
      <c r="H618" s="120"/>
      <c r="I618" s="119"/>
      <c r="J618" s="120"/>
      <c r="K618" s="119"/>
      <c r="L618" s="120"/>
      <c r="M618" s="119"/>
      <c r="N618" s="120"/>
      <c r="O618" s="119"/>
      <c r="P618" s="120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customFormat="false" ht="14.25" hidden="false" customHeight="true" outlineLevel="0" collapsed="false">
      <c r="A619" s="141"/>
      <c r="B619" s="142"/>
      <c r="C619" s="143"/>
      <c r="D619" s="144"/>
      <c r="E619" s="119"/>
      <c r="F619" s="120"/>
      <c r="G619" s="119"/>
      <c r="H619" s="120"/>
      <c r="I619" s="119"/>
      <c r="J619" s="120"/>
      <c r="K619" s="119"/>
      <c r="L619" s="120"/>
      <c r="M619" s="119"/>
      <c r="N619" s="120"/>
      <c r="O619" s="119"/>
      <c r="P619" s="120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customFormat="false" ht="14.25" hidden="false" customHeight="true" outlineLevel="0" collapsed="false">
      <c r="A620" s="141"/>
      <c r="B620" s="142"/>
      <c r="C620" s="143"/>
      <c r="D620" s="144"/>
      <c r="E620" s="119"/>
      <c r="F620" s="120"/>
      <c r="G620" s="119"/>
      <c r="H620" s="120"/>
      <c r="I620" s="119"/>
      <c r="J620" s="120"/>
      <c r="K620" s="119"/>
      <c r="L620" s="120"/>
      <c r="M620" s="119"/>
      <c r="N620" s="120"/>
      <c r="O620" s="119"/>
      <c r="P620" s="120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customFormat="false" ht="14.25" hidden="false" customHeight="true" outlineLevel="0" collapsed="false">
      <c r="A621" s="141"/>
      <c r="B621" s="142"/>
      <c r="C621" s="143"/>
      <c r="D621" s="144"/>
      <c r="E621" s="119"/>
      <c r="F621" s="120"/>
      <c r="G621" s="119"/>
      <c r="H621" s="120"/>
      <c r="I621" s="119"/>
      <c r="J621" s="120"/>
      <c r="K621" s="119"/>
      <c r="L621" s="120"/>
      <c r="M621" s="119"/>
      <c r="N621" s="120"/>
      <c r="O621" s="119"/>
      <c r="P621" s="120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customFormat="false" ht="14.25" hidden="false" customHeight="true" outlineLevel="0" collapsed="false">
      <c r="A622" s="141"/>
      <c r="B622" s="142"/>
      <c r="C622" s="143"/>
      <c r="D622" s="144"/>
      <c r="E622" s="119"/>
      <c r="F622" s="120"/>
      <c r="G622" s="119"/>
      <c r="H622" s="120"/>
      <c r="I622" s="119"/>
      <c r="J622" s="120"/>
      <c r="K622" s="119"/>
      <c r="L622" s="120"/>
      <c r="M622" s="119"/>
      <c r="N622" s="120"/>
      <c r="O622" s="119"/>
      <c r="P622" s="120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customFormat="false" ht="14.25" hidden="false" customHeight="true" outlineLevel="0" collapsed="false">
      <c r="A623" s="141"/>
      <c r="B623" s="142"/>
      <c r="C623" s="143"/>
      <c r="D623" s="144"/>
      <c r="E623" s="119"/>
      <c r="F623" s="120"/>
      <c r="G623" s="119"/>
      <c r="H623" s="120"/>
      <c r="I623" s="119"/>
      <c r="J623" s="120"/>
      <c r="K623" s="119"/>
      <c r="L623" s="120"/>
      <c r="M623" s="119"/>
      <c r="N623" s="120"/>
      <c r="O623" s="119"/>
      <c r="P623" s="120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customFormat="false" ht="14.25" hidden="false" customHeight="true" outlineLevel="0" collapsed="false">
      <c r="A624" s="141"/>
      <c r="B624" s="142"/>
      <c r="C624" s="143"/>
      <c r="D624" s="144"/>
      <c r="E624" s="119"/>
      <c r="F624" s="120"/>
      <c r="G624" s="119"/>
      <c r="H624" s="120"/>
      <c r="I624" s="119"/>
      <c r="J624" s="120"/>
      <c r="K624" s="119"/>
      <c r="L624" s="120"/>
      <c r="M624" s="119"/>
      <c r="N624" s="120"/>
      <c r="O624" s="119"/>
      <c r="P624" s="120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customFormat="false" ht="14.25" hidden="false" customHeight="true" outlineLevel="0" collapsed="false">
      <c r="A625" s="141"/>
      <c r="B625" s="142"/>
      <c r="C625" s="143"/>
      <c r="D625" s="144"/>
      <c r="E625" s="119"/>
      <c r="F625" s="120"/>
      <c r="G625" s="119"/>
      <c r="H625" s="120"/>
      <c r="I625" s="119"/>
      <c r="J625" s="120"/>
      <c r="K625" s="119"/>
      <c r="L625" s="120"/>
      <c r="M625" s="119"/>
      <c r="N625" s="120"/>
      <c r="O625" s="119"/>
      <c r="P625" s="120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customFormat="false" ht="14.25" hidden="false" customHeight="true" outlineLevel="0" collapsed="false">
      <c r="A626" s="141"/>
      <c r="B626" s="142"/>
      <c r="C626" s="143"/>
      <c r="D626" s="144"/>
      <c r="E626" s="119"/>
      <c r="F626" s="120"/>
      <c r="G626" s="119"/>
      <c r="H626" s="120"/>
      <c r="I626" s="119"/>
      <c r="J626" s="120"/>
      <c r="K626" s="119"/>
      <c r="L626" s="120"/>
      <c r="M626" s="119"/>
      <c r="N626" s="120"/>
      <c r="O626" s="119"/>
      <c r="P626" s="120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customFormat="false" ht="14.25" hidden="false" customHeight="true" outlineLevel="0" collapsed="false">
      <c r="A627" s="141"/>
      <c r="B627" s="142"/>
      <c r="C627" s="143"/>
      <c r="D627" s="144"/>
      <c r="E627" s="119"/>
      <c r="F627" s="120"/>
      <c r="G627" s="119"/>
      <c r="H627" s="120"/>
      <c r="I627" s="119"/>
      <c r="J627" s="120"/>
      <c r="K627" s="119"/>
      <c r="L627" s="120"/>
      <c r="M627" s="119"/>
      <c r="N627" s="120"/>
      <c r="O627" s="119"/>
      <c r="P627" s="120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customFormat="false" ht="14.25" hidden="false" customHeight="true" outlineLevel="0" collapsed="false">
      <c r="A628" s="141"/>
      <c r="B628" s="142"/>
      <c r="C628" s="143"/>
      <c r="D628" s="144"/>
      <c r="E628" s="119"/>
      <c r="F628" s="120"/>
      <c r="G628" s="119"/>
      <c r="H628" s="120"/>
      <c r="I628" s="119"/>
      <c r="J628" s="120"/>
      <c r="K628" s="119"/>
      <c r="L628" s="120"/>
      <c r="M628" s="119"/>
      <c r="N628" s="120"/>
      <c r="O628" s="119"/>
      <c r="P628" s="120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customFormat="false" ht="14.25" hidden="false" customHeight="true" outlineLevel="0" collapsed="false">
      <c r="A629" s="141"/>
      <c r="B629" s="142"/>
      <c r="C629" s="143"/>
      <c r="D629" s="144"/>
      <c r="E629" s="119"/>
      <c r="F629" s="120"/>
      <c r="G629" s="119"/>
      <c r="H629" s="120"/>
      <c r="I629" s="119"/>
      <c r="J629" s="120"/>
      <c r="K629" s="119"/>
      <c r="L629" s="120"/>
      <c r="M629" s="119"/>
      <c r="N629" s="120"/>
      <c r="O629" s="119"/>
      <c r="P629" s="120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customFormat="false" ht="14.25" hidden="false" customHeight="true" outlineLevel="0" collapsed="false">
      <c r="A630" s="141"/>
      <c r="B630" s="142"/>
      <c r="C630" s="143"/>
      <c r="D630" s="144"/>
      <c r="E630" s="119"/>
      <c r="F630" s="120"/>
      <c r="G630" s="119"/>
      <c r="H630" s="120"/>
      <c r="I630" s="119"/>
      <c r="J630" s="120"/>
      <c r="K630" s="119"/>
      <c r="L630" s="120"/>
      <c r="M630" s="119"/>
      <c r="N630" s="120"/>
      <c r="O630" s="119"/>
      <c r="P630" s="120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customFormat="false" ht="14.25" hidden="false" customHeight="true" outlineLevel="0" collapsed="false">
      <c r="A631" s="141"/>
      <c r="B631" s="142"/>
      <c r="C631" s="143"/>
      <c r="D631" s="144"/>
      <c r="E631" s="119"/>
      <c r="F631" s="120"/>
      <c r="G631" s="119"/>
      <c r="H631" s="120"/>
      <c r="I631" s="119"/>
      <c r="J631" s="120"/>
      <c r="K631" s="119"/>
      <c r="L631" s="120"/>
      <c r="M631" s="119"/>
      <c r="N631" s="120"/>
      <c r="O631" s="119"/>
      <c r="P631" s="120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customFormat="false" ht="14.25" hidden="false" customHeight="true" outlineLevel="0" collapsed="false">
      <c r="A632" s="141"/>
      <c r="B632" s="142"/>
      <c r="C632" s="143"/>
      <c r="D632" s="144"/>
      <c r="E632" s="119"/>
      <c r="F632" s="120"/>
      <c r="G632" s="119"/>
      <c r="H632" s="120"/>
      <c r="I632" s="119"/>
      <c r="J632" s="120"/>
      <c r="K632" s="119"/>
      <c r="L632" s="120"/>
      <c r="M632" s="119"/>
      <c r="N632" s="120"/>
      <c r="O632" s="119"/>
      <c r="P632" s="120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customFormat="false" ht="14.25" hidden="false" customHeight="true" outlineLevel="0" collapsed="false">
      <c r="A633" s="141"/>
      <c r="B633" s="142"/>
      <c r="C633" s="143"/>
      <c r="D633" s="144"/>
      <c r="E633" s="119"/>
      <c r="F633" s="120"/>
      <c r="G633" s="119"/>
      <c r="H633" s="120"/>
      <c r="I633" s="119"/>
      <c r="J633" s="120"/>
      <c r="K633" s="119"/>
      <c r="L633" s="120"/>
      <c r="M633" s="119"/>
      <c r="N633" s="120"/>
      <c r="O633" s="119"/>
      <c r="P633" s="120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customFormat="false" ht="14.25" hidden="false" customHeight="true" outlineLevel="0" collapsed="false">
      <c r="A634" s="141"/>
      <c r="B634" s="142"/>
      <c r="C634" s="143"/>
      <c r="D634" s="144"/>
      <c r="E634" s="119"/>
      <c r="F634" s="120"/>
      <c r="G634" s="119"/>
      <c r="H634" s="120"/>
      <c r="I634" s="119"/>
      <c r="J634" s="120"/>
      <c r="K634" s="119"/>
      <c r="L634" s="120"/>
      <c r="M634" s="119"/>
      <c r="N634" s="120"/>
      <c r="O634" s="119"/>
      <c r="P634" s="120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customFormat="false" ht="14.25" hidden="false" customHeight="true" outlineLevel="0" collapsed="false">
      <c r="A635" s="141"/>
      <c r="B635" s="142"/>
      <c r="C635" s="143"/>
      <c r="D635" s="144"/>
      <c r="E635" s="119"/>
      <c r="F635" s="120"/>
      <c r="G635" s="119"/>
      <c r="H635" s="120"/>
      <c r="I635" s="119"/>
      <c r="J635" s="120"/>
      <c r="K635" s="119"/>
      <c r="L635" s="120"/>
      <c r="M635" s="119"/>
      <c r="N635" s="120"/>
      <c r="O635" s="119"/>
      <c r="P635" s="120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customFormat="false" ht="14.25" hidden="false" customHeight="true" outlineLevel="0" collapsed="false">
      <c r="A636" s="141"/>
      <c r="B636" s="142"/>
      <c r="C636" s="143"/>
      <c r="D636" s="144"/>
      <c r="E636" s="119"/>
      <c r="F636" s="120"/>
      <c r="G636" s="119"/>
      <c r="H636" s="120"/>
      <c r="I636" s="119"/>
      <c r="J636" s="120"/>
      <c r="K636" s="119"/>
      <c r="L636" s="120"/>
      <c r="M636" s="119"/>
      <c r="N636" s="120"/>
      <c r="O636" s="119"/>
      <c r="P636" s="120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customFormat="false" ht="14.25" hidden="false" customHeight="true" outlineLevel="0" collapsed="false">
      <c r="A637" s="141"/>
      <c r="B637" s="142"/>
      <c r="C637" s="143"/>
      <c r="D637" s="144"/>
      <c r="E637" s="119"/>
      <c r="F637" s="120"/>
      <c r="G637" s="119"/>
      <c r="H637" s="120"/>
      <c r="I637" s="119"/>
      <c r="J637" s="120"/>
      <c r="K637" s="119"/>
      <c r="L637" s="120"/>
      <c r="M637" s="119"/>
      <c r="N637" s="120"/>
      <c r="O637" s="119"/>
      <c r="P637" s="120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customFormat="false" ht="14.25" hidden="false" customHeight="true" outlineLevel="0" collapsed="false">
      <c r="A638" s="141"/>
      <c r="B638" s="142"/>
      <c r="C638" s="143"/>
      <c r="D638" s="144"/>
      <c r="E638" s="119"/>
      <c r="F638" s="120"/>
      <c r="G638" s="119"/>
      <c r="H638" s="120"/>
      <c r="I638" s="119"/>
      <c r="J638" s="120"/>
      <c r="K638" s="119"/>
      <c r="L638" s="120"/>
      <c r="M638" s="119"/>
      <c r="N638" s="120"/>
      <c r="O638" s="119"/>
      <c r="P638" s="120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customFormat="false" ht="14.25" hidden="false" customHeight="true" outlineLevel="0" collapsed="false">
      <c r="A639" s="141"/>
      <c r="B639" s="142"/>
      <c r="C639" s="143"/>
      <c r="D639" s="144"/>
      <c r="E639" s="119"/>
      <c r="F639" s="120"/>
      <c r="G639" s="119"/>
      <c r="H639" s="120"/>
      <c r="I639" s="119"/>
      <c r="J639" s="120"/>
      <c r="K639" s="119"/>
      <c r="L639" s="120"/>
      <c r="M639" s="119"/>
      <c r="N639" s="120"/>
      <c r="O639" s="119"/>
      <c r="P639" s="120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customFormat="false" ht="14.25" hidden="false" customHeight="true" outlineLevel="0" collapsed="false">
      <c r="A640" s="141"/>
      <c r="B640" s="142"/>
      <c r="C640" s="143"/>
      <c r="D640" s="144"/>
      <c r="E640" s="119"/>
      <c r="F640" s="120"/>
      <c r="G640" s="119"/>
      <c r="H640" s="120"/>
      <c r="I640" s="119"/>
      <c r="J640" s="120"/>
      <c r="K640" s="119"/>
      <c r="L640" s="120"/>
      <c r="M640" s="119"/>
      <c r="N640" s="120"/>
      <c r="O640" s="119"/>
      <c r="P640" s="120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customFormat="false" ht="14.25" hidden="false" customHeight="true" outlineLevel="0" collapsed="false">
      <c r="A641" s="141"/>
      <c r="B641" s="142"/>
      <c r="C641" s="143"/>
      <c r="D641" s="144"/>
      <c r="E641" s="119"/>
      <c r="F641" s="120"/>
      <c r="G641" s="119"/>
      <c r="H641" s="120"/>
      <c r="I641" s="119"/>
      <c r="J641" s="120"/>
      <c r="K641" s="119"/>
      <c r="L641" s="120"/>
      <c r="M641" s="119"/>
      <c r="N641" s="120"/>
      <c r="O641" s="119"/>
      <c r="P641" s="120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customFormat="false" ht="14.25" hidden="false" customHeight="true" outlineLevel="0" collapsed="false">
      <c r="A642" s="141"/>
      <c r="B642" s="142"/>
      <c r="C642" s="143"/>
      <c r="D642" s="144"/>
      <c r="E642" s="119"/>
      <c r="F642" s="120"/>
      <c r="G642" s="119"/>
      <c r="H642" s="120"/>
      <c r="I642" s="119"/>
      <c r="J642" s="120"/>
      <c r="K642" s="119"/>
      <c r="L642" s="120"/>
      <c r="M642" s="119"/>
      <c r="N642" s="120"/>
      <c r="O642" s="119"/>
      <c r="P642" s="120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customFormat="false" ht="14.25" hidden="false" customHeight="true" outlineLevel="0" collapsed="false">
      <c r="A643" s="141"/>
      <c r="B643" s="142"/>
      <c r="C643" s="143"/>
      <c r="D643" s="144"/>
      <c r="E643" s="119"/>
      <c r="F643" s="120"/>
      <c r="G643" s="119"/>
      <c r="H643" s="120"/>
      <c r="I643" s="119"/>
      <c r="J643" s="120"/>
      <c r="K643" s="119"/>
      <c r="L643" s="120"/>
      <c r="M643" s="119"/>
      <c r="N643" s="120"/>
      <c r="O643" s="119"/>
      <c r="P643" s="120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customFormat="false" ht="14.25" hidden="false" customHeight="true" outlineLevel="0" collapsed="false">
      <c r="A644" s="141"/>
      <c r="B644" s="142"/>
      <c r="C644" s="143"/>
      <c r="D644" s="144"/>
      <c r="E644" s="119"/>
      <c r="F644" s="120"/>
      <c r="G644" s="119"/>
      <c r="H644" s="120"/>
      <c r="I644" s="119"/>
      <c r="J644" s="120"/>
      <c r="K644" s="119"/>
      <c r="L644" s="120"/>
      <c r="M644" s="119"/>
      <c r="N644" s="120"/>
      <c r="O644" s="119"/>
      <c r="P644" s="120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customFormat="false" ht="14.25" hidden="false" customHeight="true" outlineLevel="0" collapsed="false">
      <c r="A645" s="141"/>
      <c r="B645" s="142"/>
      <c r="C645" s="143"/>
      <c r="D645" s="144"/>
      <c r="E645" s="119"/>
      <c r="F645" s="120"/>
      <c r="G645" s="119"/>
      <c r="H645" s="120"/>
      <c r="I645" s="119"/>
      <c r="J645" s="120"/>
      <c r="K645" s="119"/>
      <c r="L645" s="120"/>
      <c r="M645" s="119"/>
      <c r="N645" s="120"/>
      <c r="O645" s="119"/>
      <c r="P645" s="120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customFormat="false" ht="14.25" hidden="false" customHeight="true" outlineLevel="0" collapsed="false">
      <c r="A646" s="141"/>
      <c r="B646" s="142"/>
      <c r="C646" s="143"/>
      <c r="D646" s="144"/>
      <c r="E646" s="119"/>
      <c r="F646" s="120"/>
      <c r="G646" s="119"/>
      <c r="H646" s="120"/>
      <c r="I646" s="119"/>
      <c r="J646" s="120"/>
      <c r="K646" s="119"/>
      <c r="L646" s="120"/>
      <c r="M646" s="119"/>
      <c r="N646" s="120"/>
      <c r="O646" s="119"/>
      <c r="P646" s="120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customFormat="false" ht="14.25" hidden="false" customHeight="true" outlineLevel="0" collapsed="false">
      <c r="A647" s="141"/>
      <c r="B647" s="142"/>
      <c r="C647" s="143"/>
      <c r="D647" s="144"/>
      <c r="E647" s="119"/>
      <c r="F647" s="120"/>
      <c r="G647" s="119"/>
      <c r="H647" s="120"/>
      <c r="I647" s="119"/>
      <c r="J647" s="120"/>
      <c r="K647" s="119"/>
      <c r="L647" s="120"/>
      <c r="M647" s="119"/>
      <c r="N647" s="120"/>
      <c r="O647" s="119"/>
      <c r="P647" s="120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customFormat="false" ht="14.25" hidden="false" customHeight="true" outlineLevel="0" collapsed="false">
      <c r="A648" s="141"/>
      <c r="B648" s="142"/>
      <c r="C648" s="143"/>
      <c r="D648" s="144"/>
      <c r="E648" s="119"/>
      <c r="F648" s="120"/>
      <c r="G648" s="119"/>
      <c r="H648" s="120"/>
      <c r="I648" s="119"/>
      <c r="J648" s="120"/>
      <c r="K648" s="119"/>
      <c r="L648" s="120"/>
      <c r="M648" s="119"/>
      <c r="N648" s="120"/>
      <c r="O648" s="119"/>
      <c r="P648" s="120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customFormat="false" ht="14.25" hidden="false" customHeight="true" outlineLevel="0" collapsed="false">
      <c r="A649" s="141"/>
      <c r="B649" s="142"/>
      <c r="C649" s="143"/>
      <c r="D649" s="144"/>
      <c r="E649" s="119"/>
      <c r="F649" s="120"/>
      <c r="G649" s="119"/>
      <c r="H649" s="120"/>
      <c r="I649" s="119"/>
      <c r="J649" s="120"/>
      <c r="K649" s="119"/>
      <c r="L649" s="120"/>
      <c r="M649" s="119"/>
      <c r="N649" s="120"/>
      <c r="O649" s="119"/>
      <c r="P649" s="120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customFormat="false" ht="14.25" hidden="false" customHeight="true" outlineLevel="0" collapsed="false">
      <c r="A650" s="141"/>
      <c r="B650" s="142"/>
      <c r="C650" s="143"/>
      <c r="D650" s="144"/>
      <c r="E650" s="119"/>
      <c r="F650" s="120"/>
      <c r="G650" s="119"/>
      <c r="H650" s="120"/>
      <c r="I650" s="119"/>
      <c r="J650" s="120"/>
      <c r="K650" s="119"/>
      <c r="L650" s="120"/>
      <c r="M650" s="119"/>
      <c r="N650" s="120"/>
      <c r="O650" s="119"/>
      <c r="P650" s="120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customFormat="false" ht="14.25" hidden="false" customHeight="true" outlineLevel="0" collapsed="false">
      <c r="A651" s="141"/>
      <c r="B651" s="142"/>
      <c r="C651" s="143"/>
      <c r="D651" s="144"/>
      <c r="E651" s="119"/>
      <c r="F651" s="120"/>
      <c r="G651" s="119"/>
      <c r="H651" s="120"/>
      <c r="I651" s="119"/>
      <c r="J651" s="120"/>
      <c r="K651" s="119"/>
      <c r="L651" s="120"/>
      <c r="M651" s="119"/>
      <c r="N651" s="120"/>
      <c r="O651" s="119"/>
      <c r="P651" s="120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customFormat="false" ht="14.25" hidden="false" customHeight="true" outlineLevel="0" collapsed="false">
      <c r="A652" s="141"/>
      <c r="B652" s="142"/>
      <c r="C652" s="143"/>
      <c r="D652" s="144"/>
      <c r="E652" s="119"/>
      <c r="F652" s="120"/>
      <c r="G652" s="119"/>
      <c r="H652" s="120"/>
      <c r="I652" s="119"/>
      <c r="J652" s="120"/>
      <c r="K652" s="119"/>
      <c r="L652" s="120"/>
      <c r="M652" s="119"/>
      <c r="N652" s="120"/>
      <c r="O652" s="119"/>
      <c r="P652" s="120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customFormat="false" ht="14.25" hidden="false" customHeight="true" outlineLevel="0" collapsed="false">
      <c r="A653" s="141"/>
      <c r="B653" s="142"/>
      <c r="C653" s="143"/>
      <c r="D653" s="144"/>
      <c r="E653" s="119"/>
      <c r="F653" s="120"/>
      <c r="G653" s="119"/>
      <c r="H653" s="120"/>
      <c r="I653" s="119"/>
      <c r="J653" s="120"/>
      <c r="K653" s="119"/>
      <c r="L653" s="120"/>
      <c r="M653" s="119"/>
      <c r="N653" s="120"/>
      <c r="O653" s="119"/>
      <c r="P653" s="120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customFormat="false" ht="14.25" hidden="false" customHeight="true" outlineLevel="0" collapsed="false">
      <c r="A654" s="141"/>
      <c r="B654" s="142"/>
      <c r="C654" s="143"/>
      <c r="D654" s="144"/>
      <c r="E654" s="119"/>
      <c r="F654" s="120"/>
      <c r="G654" s="119"/>
      <c r="H654" s="120"/>
      <c r="I654" s="119"/>
      <c r="J654" s="120"/>
      <c r="K654" s="119"/>
      <c r="L654" s="120"/>
      <c r="M654" s="119"/>
      <c r="N654" s="120"/>
      <c r="O654" s="119"/>
      <c r="P654" s="120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customFormat="false" ht="14.25" hidden="false" customHeight="true" outlineLevel="0" collapsed="false">
      <c r="A655" s="141"/>
      <c r="B655" s="142"/>
      <c r="C655" s="143"/>
      <c r="D655" s="144"/>
      <c r="E655" s="119"/>
      <c r="F655" s="120"/>
      <c r="G655" s="119"/>
      <c r="H655" s="120"/>
      <c r="I655" s="119"/>
      <c r="J655" s="120"/>
      <c r="K655" s="119"/>
      <c r="L655" s="120"/>
      <c r="M655" s="119"/>
      <c r="N655" s="120"/>
      <c r="O655" s="119"/>
      <c r="P655" s="120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customFormat="false" ht="14.25" hidden="false" customHeight="true" outlineLevel="0" collapsed="false">
      <c r="A656" s="141"/>
      <c r="B656" s="142"/>
      <c r="C656" s="143"/>
      <c r="D656" s="144"/>
      <c r="E656" s="119"/>
      <c r="F656" s="120"/>
      <c r="G656" s="119"/>
      <c r="H656" s="120"/>
      <c r="I656" s="119"/>
      <c r="J656" s="120"/>
      <c r="K656" s="119"/>
      <c r="L656" s="120"/>
      <c r="M656" s="119"/>
      <c r="N656" s="120"/>
      <c r="O656" s="119"/>
      <c r="P656" s="120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customFormat="false" ht="14.25" hidden="false" customHeight="true" outlineLevel="0" collapsed="false">
      <c r="A657" s="141"/>
      <c r="B657" s="142"/>
      <c r="C657" s="143"/>
      <c r="D657" s="144"/>
      <c r="E657" s="119"/>
      <c r="F657" s="120"/>
      <c r="G657" s="119"/>
      <c r="H657" s="120"/>
      <c r="I657" s="119"/>
      <c r="J657" s="120"/>
      <c r="K657" s="119"/>
      <c r="L657" s="120"/>
      <c r="M657" s="119"/>
      <c r="N657" s="120"/>
      <c r="O657" s="119"/>
      <c r="P657" s="120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customFormat="false" ht="14.25" hidden="false" customHeight="true" outlineLevel="0" collapsed="false">
      <c r="A658" s="141"/>
      <c r="B658" s="142"/>
      <c r="C658" s="143"/>
      <c r="D658" s="144"/>
      <c r="E658" s="119"/>
      <c r="F658" s="120"/>
      <c r="G658" s="119"/>
      <c r="H658" s="120"/>
      <c r="I658" s="119"/>
      <c r="J658" s="120"/>
      <c r="K658" s="119"/>
      <c r="L658" s="120"/>
      <c r="M658" s="119"/>
      <c r="N658" s="120"/>
      <c r="O658" s="119"/>
      <c r="P658" s="120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customFormat="false" ht="14.25" hidden="false" customHeight="true" outlineLevel="0" collapsed="false">
      <c r="A659" s="141"/>
      <c r="B659" s="142"/>
      <c r="C659" s="143"/>
      <c r="D659" s="144"/>
      <c r="E659" s="119"/>
      <c r="F659" s="120"/>
      <c r="G659" s="119"/>
      <c r="H659" s="120"/>
      <c r="I659" s="119"/>
      <c r="J659" s="120"/>
      <c r="K659" s="119"/>
      <c r="L659" s="120"/>
      <c r="M659" s="119"/>
      <c r="N659" s="120"/>
      <c r="O659" s="119"/>
      <c r="P659" s="120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customFormat="false" ht="14.25" hidden="false" customHeight="true" outlineLevel="0" collapsed="false">
      <c r="A660" s="141"/>
      <c r="B660" s="142"/>
      <c r="C660" s="143"/>
      <c r="D660" s="144"/>
      <c r="E660" s="119"/>
      <c r="F660" s="120"/>
      <c r="G660" s="119"/>
      <c r="H660" s="120"/>
      <c r="I660" s="119"/>
      <c r="J660" s="120"/>
      <c r="K660" s="119"/>
      <c r="L660" s="120"/>
      <c r="M660" s="119"/>
      <c r="N660" s="120"/>
      <c r="O660" s="119"/>
      <c r="P660" s="120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customFormat="false" ht="14.25" hidden="false" customHeight="true" outlineLevel="0" collapsed="false">
      <c r="A661" s="141"/>
      <c r="B661" s="142"/>
      <c r="C661" s="143"/>
      <c r="D661" s="144"/>
      <c r="E661" s="119"/>
      <c r="F661" s="120"/>
      <c r="G661" s="119"/>
      <c r="H661" s="120"/>
      <c r="I661" s="119"/>
      <c r="J661" s="120"/>
      <c r="K661" s="119"/>
      <c r="L661" s="120"/>
      <c r="M661" s="119"/>
      <c r="N661" s="120"/>
      <c r="O661" s="119"/>
      <c r="P661" s="120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customFormat="false" ht="14.25" hidden="false" customHeight="true" outlineLevel="0" collapsed="false">
      <c r="A662" s="141"/>
      <c r="B662" s="142"/>
      <c r="C662" s="143"/>
      <c r="D662" s="144"/>
      <c r="E662" s="119"/>
      <c r="F662" s="120"/>
      <c r="G662" s="119"/>
      <c r="H662" s="120"/>
      <c r="I662" s="119"/>
      <c r="J662" s="120"/>
      <c r="K662" s="119"/>
      <c r="L662" s="120"/>
      <c r="M662" s="119"/>
      <c r="N662" s="120"/>
      <c r="O662" s="119"/>
      <c r="P662" s="120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customFormat="false" ht="14.25" hidden="false" customHeight="true" outlineLevel="0" collapsed="false">
      <c r="A663" s="141"/>
      <c r="B663" s="142"/>
      <c r="C663" s="143"/>
      <c r="D663" s="144"/>
      <c r="E663" s="119"/>
      <c r="F663" s="120"/>
      <c r="G663" s="119"/>
      <c r="H663" s="120"/>
      <c r="I663" s="119"/>
      <c r="J663" s="120"/>
      <c r="K663" s="119"/>
      <c r="L663" s="120"/>
      <c r="M663" s="119"/>
      <c r="N663" s="120"/>
      <c r="O663" s="119"/>
      <c r="P663" s="120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customFormat="false" ht="14.25" hidden="false" customHeight="true" outlineLevel="0" collapsed="false">
      <c r="A664" s="141"/>
      <c r="B664" s="142"/>
      <c r="C664" s="143"/>
      <c r="D664" s="144"/>
      <c r="E664" s="119"/>
      <c r="F664" s="120"/>
      <c r="G664" s="119"/>
      <c r="H664" s="120"/>
      <c r="I664" s="119"/>
      <c r="J664" s="120"/>
      <c r="K664" s="119"/>
      <c r="L664" s="120"/>
      <c r="M664" s="119"/>
      <c r="N664" s="120"/>
      <c r="O664" s="119"/>
      <c r="P664" s="120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customFormat="false" ht="14.25" hidden="false" customHeight="true" outlineLevel="0" collapsed="false">
      <c r="A665" s="141"/>
      <c r="B665" s="142"/>
      <c r="C665" s="143"/>
      <c r="D665" s="144"/>
      <c r="E665" s="119"/>
      <c r="F665" s="120"/>
      <c r="G665" s="119"/>
      <c r="H665" s="120"/>
      <c r="I665" s="119"/>
      <c r="J665" s="120"/>
      <c r="K665" s="119"/>
      <c r="L665" s="120"/>
      <c r="M665" s="119"/>
      <c r="N665" s="120"/>
      <c r="O665" s="119"/>
      <c r="P665" s="120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customFormat="false" ht="14.25" hidden="false" customHeight="true" outlineLevel="0" collapsed="false">
      <c r="A666" s="141"/>
      <c r="B666" s="142"/>
      <c r="C666" s="143"/>
      <c r="D666" s="144"/>
      <c r="E666" s="119"/>
      <c r="F666" s="120"/>
      <c r="G666" s="119"/>
      <c r="H666" s="120"/>
      <c r="I666" s="119"/>
      <c r="J666" s="120"/>
      <c r="K666" s="119"/>
      <c r="L666" s="120"/>
      <c r="M666" s="119"/>
      <c r="N666" s="120"/>
      <c r="O666" s="119"/>
      <c r="P666" s="120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customFormat="false" ht="14.25" hidden="false" customHeight="true" outlineLevel="0" collapsed="false">
      <c r="A667" s="141"/>
      <c r="B667" s="142"/>
      <c r="C667" s="143"/>
      <c r="D667" s="144"/>
      <c r="E667" s="119"/>
      <c r="F667" s="120"/>
      <c r="G667" s="119"/>
      <c r="H667" s="120"/>
      <c r="I667" s="119"/>
      <c r="J667" s="120"/>
      <c r="K667" s="119"/>
      <c r="L667" s="120"/>
      <c r="M667" s="119"/>
      <c r="N667" s="120"/>
      <c r="O667" s="119"/>
      <c r="P667" s="120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customFormat="false" ht="14.25" hidden="false" customHeight="true" outlineLevel="0" collapsed="false">
      <c r="A668" s="141"/>
      <c r="B668" s="142"/>
      <c r="C668" s="143"/>
      <c r="D668" s="144"/>
      <c r="E668" s="119"/>
      <c r="F668" s="120"/>
      <c r="G668" s="119"/>
      <c r="H668" s="120"/>
      <c r="I668" s="119"/>
      <c r="J668" s="120"/>
      <c r="K668" s="119"/>
      <c r="L668" s="120"/>
      <c r="M668" s="119"/>
      <c r="N668" s="120"/>
      <c r="O668" s="119"/>
      <c r="P668" s="120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customFormat="false" ht="14.25" hidden="false" customHeight="true" outlineLevel="0" collapsed="false">
      <c r="A669" s="141"/>
      <c r="B669" s="142"/>
      <c r="C669" s="143"/>
      <c r="D669" s="144"/>
      <c r="E669" s="119"/>
      <c r="F669" s="120"/>
      <c r="G669" s="119"/>
      <c r="H669" s="120"/>
      <c r="I669" s="119"/>
      <c r="J669" s="120"/>
      <c r="K669" s="119"/>
      <c r="L669" s="120"/>
      <c r="M669" s="119"/>
      <c r="N669" s="120"/>
      <c r="O669" s="119"/>
      <c r="P669" s="120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customFormat="false" ht="14.25" hidden="false" customHeight="true" outlineLevel="0" collapsed="false">
      <c r="A670" s="141"/>
      <c r="B670" s="142"/>
      <c r="C670" s="143"/>
      <c r="D670" s="144"/>
      <c r="E670" s="119"/>
      <c r="F670" s="120"/>
      <c r="G670" s="119"/>
      <c r="H670" s="120"/>
      <c r="I670" s="119"/>
      <c r="J670" s="120"/>
      <c r="K670" s="119"/>
      <c r="L670" s="120"/>
      <c r="M670" s="119"/>
      <c r="N670" s="120"/>
      <c r="O670" s="119"/>
      <c r="P670" s="120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customFormat="false" ht="14.25" hidden="false" customHeight="true" outlineLevel="0" collapsed="false">
      <c r="A671" s="141"/>
      <c r="B671" s="142"/>
      <c r="C671" s="143"/>
      <c r="D671" s="144"/>
      <c r="E671" s="119"/>
      <c r="F671" s="120"/>
      <c r="G671" s="119"/>
      <c r="H671" s="120"/>
      <c r="I671" s="119"/>
      <c r="J671" s="120"/>
      <c r="K671" s="119"/>
      <c r="L671" s="120"/>
      <c r="M671" s="119"/>
      <c r="N671" s="120"/>
      <c r="O671" s="119"/>
      <c r="P671" s="120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customFormat="false" ht="14.25" hidden="false" customHeight="true" outlineLevel="0" collapsed="false">
      <c r="A672" s="141"/>
      <c r="B672" s="142"/>
      <c r="C672" s="143"/>
      <c r="D672" s="144"/>
      <c r="E672" s="119"/>
      <c r="F672" s="120"/>
      <c r="G672" s="119"/>
      <c r="H672" s="120"/>
      <c r="I672" s="119"/>
      <c r="J672" s="120"/>
      <c r="K672" s="119"/>
      <c r="L672" s="120"/>
      <c r="M672" s="119"/>
      <c r="N672" s="120"/>
      <c r="O672" s="119"/>
      <c r="P672" s="120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customFormat="false" ht="14.25" hidden="false" customHeight="true" outlineLevel="0" collapsed="false">
      <c r="A673" s="141"/>
      <c r="B673" s="142"/>
      <c r="C673" s="143"/>
      <c r="D673" s="144"/>
      <c r="E673" s="119"/>
      <c r="F673" s="120"/>
      <c r="G673" s="119"/>
      <c r="H673" s="120"/>
      <c r="I673" s="119"/>
      <c r="J673" s="120"/>
      <c r="K673" s="119"/>
      <c r="L673" s="120"/>
      <c r="M673" s="119"/>
      <c r="N673" s="120"/>
      <c r="O673" s="119"/>
      <c r="P673" s="120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customFormat="false" ht="14.25" hidden="false" customHeight="true" outlineLevel="0" collapsed="false">
      <c r="A674" s="141"/>
      <c r="B674" s="142"/>
      <c r="C674" s="143"/>
      <c r="D674" s="144"/>
      <c r="E674" s="119"/>
      <c r="F674" s="120"/>
      <c r="G674" s="119"/>
      <c r="H674" s="120"/>
      <c r="I674" s="119"/>
      <c r="J674" s="120"/>
      <c r="K674" s="119"/>
      <c r="L674" s="120"/>
      <c r="M674" s="119"/>
      <c r="N674" s="120"/>
      <c r="O674" s="119"/>
      <c r="P674" s="120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customFormat="false" ht="14.25" hidden="false" customHeight="true" outlineLevel="0" collapsed="false">
      <c r="A675" s="141"/>
      <c r="B675" s="142"/>
      <c r="C675" s="143"/>
      <c r="D675" s="144"/>
      <c r="E675" s="119"/>
      <c r="F675" s="120"/>
      <c r="G675" s="119"/>
      <c r="H675" s="120"/>
      <c r="I675" s="119"/>
      <c r="J675" s="120"/>
      <c r="K675" s="119"/>
      <c r="L675" s="120"/>
      <c r="M675" s="119"/>
      <c r="N675" s="120"/>
      <c r="O675" s="119"/>
      <c r="P675" s="120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customFormat="false" ht="14.25" hidden="false" customHeight="true" outlineLevel="0" collapsed="false">
      <c r="A676" s="141"/>
      <c r="B676" s="142"/>
      <c r="C676" s="143"/>
      <c r="D676" s="144"/>
      <c r="E676" s="119"/>
      <c r="F676" s="120"/>
      <c r="G676" s="119"/>
      <c r="H676" s="120"/>
      <c r="I676" s="119"/>
      <c r="J676" s="120"/>
      <c r="K676" s="119"/>
      <c r="L676" s="120"/>
      <c r="M676" s="119"/>
      <c r="N676" s="120"/>
      <c r="O676" s="119"/>
      <c r="P676" s="120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customFormat="false" ht="14.25" hidden="false" customHeight="true" outlineLevel="0" collapsed="false">
      <c r="A677" s="141"/>
      <c r="B677" s="142"/>
      <c r="C677" s="143"/>
      <c r="D677" s="144"/>
      <c r="E677" s="119"/>
      <c r="F677" s="120"/>
      <c r="G677" s="119"/>
      <c r="H677" s="120"/>
      <c r="I677" s="119"/>
      <c r="J677" s="120"/>
      <c r="K677" s="119"/>
      <c r="L677" s="120"/>
      <c r="M677" s="119"/>
      <c r="N677" s="120"/>
      <c r="O677" s="119"/>
      <c r="P677" s="120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customFormat="false" ht="14.25" hidden="false" customHeight="true" outlineLevel="0" collapsed="false">
      <c r="A678" s="141"/>
      <c r="B678" s="142"/>
      <c r="C678" s="143"/>
      <c r="D678" s="144"/>
      <c r="E678" s="119"/>
      <c r="F678" s="120"/>
      <c r="G678" s="119"/>
      <c r="H678" s="120"/>
      <c r="I678" s="119"/>
      <c r="J678" s="120"/>
      <c r="K678" s="119"/>
      <c r="L678" s="120"/>
      <c r="M678" s="119"/>
      <c r="N678" s="120"/>
      <c r="O678" s="119"/>
      <c r="P678" s="120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customFormat="false" ht="14.25" hidden="false" customHeight="true" outlineLevel="0" collapsed="false">
      <c r="A679" s="141"/>
      <c r="B679" s="142"/>
      <c r="C679" s="143"/>
      <c r="D679" s="144"/>
      <c r="E679" s="119"/>
      <c r="F679" s="120"/>
      <c r="G679" s="119"/>
      <c r="H679" s="120"/>
      <c r="I679" s="119"/>
      <c r="J679" s="120"/>
      <c r="K679" s="119"/>
      <c r="L679" s="120"/>
      <c r="M679" s="119"/>
      <c r="N679" s="120"/>
      <c r="O679" s="119"/>
      <c r="P679" s="120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customFormat="false" ht="14.25" hidden="false" customHeight="true" outlineLevel="0" collapsed="false">
      <c r="A680" s="141"/>
      <c r="B680" s="142"/>
      <c r="C680" s="143"/>
      <c r="D680" s="144"/>
      <c r="E680" s="119"/>
      <c r="F680" s="120"/>
      <c r="G680" s="119"/>
      <c r="H680" s="120"/>
      <c r="I680" s="119"/>
      <c r="J680" s="120"/>
      <c r="K680" s="119"/>
      <c r="L680" s="120"/>
      <c r="M680" s="119"/>
      <c r="N680" s="120"/>
      <c r="O680" s="119"/>
      <c r="P680" s="120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customFormat="false" ht="14.25" hidden="false" customHeight="true" outlineLevel="0" collapsed="false">
      <c r="A681" s="141"/>
      <c r="B681" s="142"/>
      <c r="C681" s="143"/>
      <c r="D681" s="144"/>
      <c r="E681" s="119"/>
      <c r="F681" s="120"/>
      <c r="G681" s="119"/>
      <c r="H681" s="120"/>
      <c r="I681" s="119"/>
      <c r="J681" s="120"/>
      <c r="K681" s="119"/>
      <c r="L681" s="120"/>
      <c r="M681" s="119"/>
      <c r="N681" s="120"/>
      <c r="O681" s="119"/>
      <c r="P681" s="120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customFormat="false" ht="14.25" hidden="false" customHeight="true" outlineLevel="0" collapsed="false">
      <c r="A682" s="141"/>
      <c r="B682" s="142"/>
      <c r="C682" s="143"/>
      <c r="D682" s="144"/>
      <c r="E682" s="119"/>
      <c r="F682" s="120"/>
      <c r="G682" s="119"/>
      <c r="H682" s="120"/>
      <c r="I682" s="119"/>
      <c r="J682" s="120"/>
      <c r="K682" s="119"/>
      <c r="L682" s="120"/>
      <c r="M682" s="119"/>
      <c r="N682" s="120"/>
      <c r="O682" s="119"/>
      <c r="P682" s="120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customFormat="false" ht="14.25" hidden="false" customHeight="true" outlineLevel="0" collapsed="false">
      <c r="A683" s="141"/>
      <c r="B683" s="142"/>
      <c r="C683" s="143"/>
      <c r="D683" s="144"/>
      <c r="E683" s="119"/>
      <c r="F683" s="120"/>
      <c r="G683" s="119"/>
      <c r="H683" s="120"/>
      <c r="I683" s="119"/>
      <c r="J683" s="120"/>
      <c r="K683" s="119"/>
      <c r="L683" s="120"/>
      <c r="M683" s="119"/>
      <c r="N683" s="120"/>
      <c r="O683" s="119"/>
      <c r="P683" s="120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customFormat="false" ht="14.25" hidden="false" customHeight="true" outlineLevel="0" collapsed="false">
      <c r="A684" s="141"/>
      <c r="B684" s="142"/>
      <c r="C684" s="143"/>
      <c r="D684" s="144"/>
      <c r="E684" s="119"/>
      <c r="F684" s="120"/>
      <c r="G684" s="119"/>
      <c r="H684" s="120"/>
      <c r="I684" s="119"/>
      <c r="J684" s="120"/>
      <c r="K684" s="119"/>
      <c r="L684" s="120"/>
      <c r="M684" s="119"/>
      <c r="N684" s="120"/>
      <c r="O684" s="119"/>
      <c r="P684" s="120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customFormat="false" ht="14.25" hidden="false" customHeight="true" outlineLevel="0" collapsed="false">
      <c r="A685" s="141"/>
      <c r="B685" s="142"/>
      <c r="C685" s="143"/>
      <c r="D685" s="144"/>
      <c r="E685" s="119"/>
      <c r="F685" s="120"/>
      <c r="G685" s="119"/>
      <c r="H685" s="120"/>
      <c r="I685" s="119"/>
      <c r="J685" s="120"/>
      <c r="K685" s="119"/>
      <c r="L685" s="120"/>
      <c r="M685" s="119"/>
      <c r="N685" s="120"/>
      <c r="O685" s="119"/>
      <c r="P685" s="120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customFormat="false" ht="14.25" hidden="false" customHeight="true" outlineLevel="0" collapsed="false">
      <c r="A686" s="141"/>
      <c r="B686" s="142"/>
      <c r="C686" s="143"/>
      <c r="D686" s="144"/>
      <c r="E686" s="119"/>
      <c r="F686" s="120"/>
      <c r="G686" s="119"/>
      <c r="H686" s="120"/>
      <c r="I686" s="119"/>
      <c r="J686" s="120"/>
      <c r="K686" s="119"/>
      <c r="L686" s="120"/>
      <c r="M686" s="119"/>
      <c r="N686" s="120"/>
      <c r="O686" s="119"/>
      <c r="P686" s="120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customFormat="false" ht="14.25" hidden="false" customHeight="true" outlineLevel="0" collapsed="false">
      <c r="A687" s="141"/>
      <c r="B687" s="142"/>
      <c r="C687" s="143"/>
      <c r="D687" s="144"/>
      <c r="E687" s="119"/>
      <c r="F687" s="120"/>
      <c r="G687" s="119"/>
      <c r="H687" s="120"/>
      <c r="I687" s="119"/>
      <c r="J687" s="120"/>
      <c r="K687" s="119"/>
      <c r="L687" s="120"/>
      <c r="M687" s="119"/>
      <c r="N687" s="120"/>
      <c r="O687" s="119"/>
      <c r="P687" s="120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customFormat="false" ht="14.25" hidden="false" customHeight="true" outlineLevel="0" collapsed="false">
      <c r="A688" s="141"/>
      <c r="B688" s="142"/>
      <c r="C688" s="143"/>
      <c r="D688" s="144"/>
      <c r="E688" s="119"/>
      <c r="F688" s="120"/>
      <c r="G688" s="119"/>
      <c r="H688" s="120"/>
      <c r="I688" s="119"/>
      <c r="J688" s="120"/>
      <c r="K688" s="119"/>
      <c r="L688" s="120"/>
      <c r="M688" s="119"/>
      <c r="N688" s="120"/>
      <c r="O688" s="119"/>
      <c r="P688" s="120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customFormat="false" ht="14.25" hidden="false" customHeight="true" outlineLevel="0" collapsed="false">
      <c r="A689" s="141"/>
      <c r="B689" s="142"/>
      <c r="C689" s="143"/>
      <c r="D689" s="144"/>
      <c r="E689" s="119"/>
      <c r="F689" s="120"/>
      <c r="G689" s="119"/>
      <c r="H689" s="120"/>
      <c r="I689" s="119"/>
      <c r="J689" s="120"/>
      <c r="K689" s="119"/>
      <c r="L689" s="120"/>
      <c r="M689" s="119"/>
      <c r="N689" s="120"/>
      <c r="O689" s="119"/>
      <c r="P689" s="120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customFormat="false" ht="14.25" hidden="false" customHeight="true" outlineLevel="0" collapsed="false">
      <c r="A690" s="141"/>
      <c r="B690" s="142"/>
      <c r="C690" s="143"/>
      <c r="D690" s="144"/>
      <c r="E690" s="119"/>
      <c r="F690" s="120"/>
      <c r="G690" s="119"/>
      <c r="H690" s="120"/>
      <c r="I690" s="119"/>
      <c r="J690" s="120"/>
      <c r="K690" s="119"/>
      <c r="L690" s="120"/>
      <c r="M690" s="119"/>
      <c r="N690" s="120"/>
      <c r="O690" s="119"/>
      <c r="P690" s="120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customFormat="false" ht="14.25" hidden="false" customHeight="true" outlineLevel="0" collapsed="false">
      <c r="A691" s="141"/>
      <c r="B691" s="142"/>
      <c r="C691" s="143"/>
      <c r="D691" s="144"/>
      <c r="E691" s="119"/>
      <c r="F691" s="120"/>
      <c r="G691" s="119"/>
      <c r="H691" s="120"/>
      <c r="I691" s="119"/>
      <c r="J691" s="120"/>
      <c r="K691" s="119"/>
      <c r="L691" s="120"/>
      <c r="M691" s="119"/>
      <c r="N691" s="120"/>
      <c r="O691" s="119"/>
      <c r="P691" s="120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customFormat="false" ht="14.25" hidden="false" customHeight="true" outlineLevel="0" collapsed="false">
      <c r="A692" s="141"/>
      <c r="B692" s="142"/>
      <c r="C692" s="143"/>
      <c r="D692" s="144"/>
      <c r="E692" s="119"/>
      <c r="F692" s="120"/>
      <c r="G692" s="119"/>
      <c r="H692" s="120"/>
      <c r="I692" s="119"/>
      <c r="J692" s="120"/>
      <c r="K692" s="119"/>
      <c r="L692" s="120"/>
      <c r="M692" s="119"/>
      <c r="N692" s="120"/>
      <c r="O692" s="119"/>
      <c r="P692" s="120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customFormat="false" ht="14.25" hidden="false" customHeight="true" outlineLevel="0" collapsed="false">
      <c r="A693" s="141"/>
      <c r="B693" s="142"/>
      <c r="C693" s="143"/>
      <c r="D693" s="144"/>
      <c r="E693" s="119"/>
      <c r="F693" s="120"/>
      <c r="G693" s="119"/>
      <c r="H693" s="120"/>
      <c r="I693" s="119"/>
      <c r="J693" s="120"/>
      <c r="K693" s="119"/>
      <c r="L693" s="120"/>
      <c r="M693" s="119"/>
      <c r="N693" s="120"/>
      <c r="O693" s="119"/>
      <c r="P693" s="120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customFormat="false" ht="14.25" hidden="false" customHeight="true" outlineLevel="0" collapsed="false">
      <c r="A694" s="141"/>
      <c r="B694" s="142"/>
      <c r="C694" s="143"/>
      <c r="D694" s="144"/>
      <c r="E694" s="119"/>
      <c r="F694" s="120"/>
      <c r="G694" s="119"/>
      <c r="H694" s="120"/>
      <c r="I694" s="119"/>
      <c r="J694" s="120"/>
      <c r="K694" s="119"/>
      <c r="L694" s="120"/>
      <c r="M694" s="119"/>
      <c r="N694" s="120"/>
      <c r="O694" s="119"/>
      <c r="P694" s="120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customFormat="false" ht="14.25" hidden="false" customHeight="true" outlineLevel="0" collapsed="false">
      <c r="A695" s="141"/>
      <c r="B695" s="142"/>
      <c r="C695" s="143"/>
      <c r="D695" s="144"/>
      <c r="E695" s="119"/>
      <c r="F695" s="120"/>
      <c r="G695" s="119"/>
      <c r="H695" s="120"/>
      <c r="I695" s="119"/>
      <c r="J695" s="120"/>
      <c r="K695" s="119"/>
      <c r="L695" s="120"/>
      <c r="M695" s="119"/>
      <c r="N695" s="120"/>
      <c r="O695" s="119"/>
      <c r="P695" s="120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customFormat="false" ht="14.25" hidden="false" customHeight="true" outlineLevel="0" collapsed="false">
      <c r="A696" s="141"/>
      <c r="B696" s="142"/>
      <c r="C696" s="143"/>
      <c r="D696" s="144"/>
      <c r="E696" s="119"/>
      <c r="F696" s="120"/>
      <c r="G696" s="119"/>
      <c r="H696" s="120"/>
      <c r="I696" s="119"/>
      <c r="J696" s="120"/>
      <c r="K696" s="119"/>
      <c r="L696" s="120"/>
      <c r="M696" s="119"/>
      <c r="N696" s="120"/>
      <c r="O696" s="119"/>
      <c r="P696" s="120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customFormat="false" ht="14.25" hidden="false" customHeight="true" outlineLevel="0" collapsed="false">
      <c r="A697" s="141"/>
      <c r="B697" s="142"/>
      <c r="C697" s="143"/>
      <c r="D697" s="144"/>
      <c r="E697" s="119"/>
      <c r="F697" s="120"/>
      <c r="G697" s="119"/>
      <c r="H697" s="120"/>
      <c r="I697" s="119"/>
      <c r="J697" s="120"/>
      <c r="K697" s="119"/>
      <c r="L697" s="120"/>
      <c r="M697" s="119"/>
      <c r="N697" s="120"/>
      <c r="O697" s="119"/>
      <c r="P697" s="120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customFormat="false" ht="14.25" hidden="false" customHeight="true" outlineLevel="0" collapsed="false">
      <c r="A698" s="141"/>
      <c r="B698" s="142"/>
      <c r="C698" s="143"/>
      <c r="D698" s="144"/>
      <c r="E698" s="119"/>
      <c r="F698" s="120"/>
      <c r="G698" s="119"/>
      <c r="H698" s="120"/>
      <c r="I698" s="119"/>
      <c r="J698" s="120"/>
      <c r="K698" s="119"/>
      <c r="L698" s="120"/>
      <c r="M698" s="119"/>
      <c r="N698" s="120"/>
      <c r="O698" s="119"/>
      <c r="P698" s="120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customFormat="false" ht="14.25" hidden="false" customHeight="true" outlineLevel="0" collapsed="false">
      <c r="A699" s="141"/>
      <c r="B699" s="142"/>
      <c r="C699" s="143"/>
      <c r="D699" s="144"/>
      <c r="E699" s="119"/>
      <c r="F699" s="120"/>
      <c r="G699" s="119"/>
      <c r="H699" s="120"/>
      <c r="I699" s="119"/>
      <c r="J699" s="120"/>
      <c r="K699" s="119"/>
      <c r="L699" s="120"/>
      <c r="M699" s="119"/>
      <c r="N699" s="120"/>
      <c r="O699" s="119"/>
      <c r="P699" s="120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customFormat="false" ht="14.25" hidden="false" customHeight="true" outlineLevel="0" collapsed="false">
      <c r="A700" s="141"/>
      <c r="B700" s="142"/>
      <c r="C700" s="143"/>
      <c r="D700" s="144"/>
      <c r="E700" s="119"/>
      <c r="F700" s="120"/>
      <c r="G700" s="119"/>
      <c r="H700" s="120"/>
      <c r="I700" s="119"/>
      <c r="J700" s="120"/>
      <c r="K700" s="119"/>
      <c r="L700" s="120"/>
      <c r="M700" s="119"/>
      <c r="N700" s="120"/>
      <c r="O700" s="119"/>
      <c r="P700" s="120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customFormat="false" ht="14.25" hidden="false" customHeight="true" outlineLevel="0" collapsed="false">
      <c r="A701" s="141"/>
      <c r="B701" s="142"/>
      <c r="C701" s="143"/>
      <c r="D701" s="144"/>
      <c r="E701" s="119"/>
      <c r="F701" s="120"/>
      <c r="G701" s="119"/>
      <c r="H701" s="120"/>
      <c r="I701" s="119"/>
      <c r="J701" s="120"/>
      <c r="K701" s="119"/>
      <c r="L701" s="120"/>
      <c r="M701" s="119"/>
      <c r="N701" s="120"/>
      <c r="O701" s="119"/>
      <c r="P701" s="120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customFormat="false" ht="14.25" hidden="false" customHeight="true" outlineLevel="0" collapsed="false">
      <c r="A702" s="141"/>
      <c r="B702" s="142"/>
      <c r="C702" s="143"/>
      <c r="D702" s="144"/>
      <c r="E702" s="119"/>
      <c r="F702" s="120"/>
      <c r="G702" s="119"/>
      <c r="H702" s="120"/>
      <c r="I702" s="119"/>
      <c r="J702" s="120"/>
      <c r="K702" s="119"/>
      <c r="L702" s="120"/>
      <c r="M702" s="119"/>
      <c r="N702" s="120"/>
      <c r="O702" s="119"/>
      <c r="P702" s="120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customFormat="false" ht="14.25" hidden="false" customHeight="true" outlineLevel="0" collapsed="false">
      <c r="A703" s="141"/>
      <c r="B703" s="142"/>
      <c r="C703" s="143"/>
      <c r="D703" s="144"/>
      <c r="E703" s="119"/>
      <c r="F703" s="120"/>
      <c r="G703" s="119"/>
      <c r="H703" s="120"/>
      <c r="I703" s="119"/>
      <c r="J703" s="120"/>
      <c r="K703" s="119"/>
      <c r="L703" s="120"/>
      <c r="M703" s="119"/>
      <c r="N703" s="120"/>
      <c r="O703" s="119"/>
      <c r="P703" s="120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customFormat="false" ht="14.25" hidden="false" customHeight="true" outlineLevel="0" collapsed="false">
      <c r="A704" s="141"/>
      <c r="B704" s="142"/>
      <c r="C704" s="143"/>
      <c r="D704" s="144"/>
      <c r="E704" s="119"/>
      <c r="F704" s="120"/>
      <c r="G704" s="119"/>
      <c r="H704" s="120"/>
      <c r="I704" s="119"/>
      <c r="J704" s="120"/>
      <c r="K704" s="119"/>
      <c r="L704" s="120"/>
      <c r="M704" s="119"/>
      <c r="N704" s="120"/>
      <c r="O704" s="119"/>
      <c r="P704" s="120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customFormat="false" ht="14.25" hidden="false" customHeight="true" outlineLevel="0" collapsed="false">
      <c r="A705" s="141"/>
      <c r="B705" s="142"/>
      <c r="C705" s="143"/>
      <c r="D705" s="144"/>
      <c r="E705" s="119"/>
      <c r="F705" s="120"/>
      <c r="G705" s="119"/>
      <c r="H705" s="120"/>
      <c r="I705" s="119"/>
      <c r="J705" s="120"/>
      <c r="K705" s="119"/>
      <c r="L705" s="120"/>
      <c r="M705" s="119"/>
      <c r="N705" s="120"/>
      <c r="O705" s="119"/>
      <c r="P705" s="120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customFormat="false" ht="14.25" hidden="false" customHeight="true" outlineLevel="0" collapsed="false">
      <c r="A706" s="141"/>
      <c r="B706" s="142"/>
      <c r="C706" s="143"/>
      <c r="D706" s="144"/>
      <c r="E706" s="119"/>
      <c r="F706" s="120"/>
      <c r="G706" s="119"/>
      <c r="H706" s="120"/>
      <c r="I706" s="119"/>
      <c r="J706" s="120"/>
      <c r="K706" s="119"/>
      <c r="L706" s="120"/>
      <c r="M706" s="119"/>
      <c r="N706" s="120"/>
      <c r="O706" s="119"/>
      <c r="P706" s="120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customFormat="false" ht="14.25" hidden="false" customHeight="true" outlineLevel="0" collapsed="false">
      <c r="A707" s="141"/>
      <c r="B707" s="142"/>
      <c r="C707" s="143"/>
      <c r="D707" s="144"/>
      <c r="E707" s="119"/>
      <c r="F707" s="120"/>
      <c r="G707" s="119"/>
      <c r="H707" s="120"/>
      <c r="I707" s="119"/>
      <c r="J707" s="120"/>
      <c r="K707" s="119"/>
      <c r="L707" s="120"/>
      <c r="M707" s="119"/>
      <c r="N707" s="120"/>
      <c r="O707" s="119"/>
      <c r="P707" s="120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customFormat="false" ht="14.25" hidden="false" customHeight="true" outlineLevel="0" collapsed="false">
      <c r="A708" s="141"/>
      <c r="B708" s="142"/>
      <c r="C708" s="143"/>
      <c r="D708" s="144"/>
      <c r="E708" s="119"/>
      <c r="F708" s="120"/>
      <c r="G708" s="119"/>
      <c r="H708" s="120"/>
      <c r="I708" s="119"/>
      <c r="J708" s="120"/>
      <c r="K708" s="119"/>
      <c r="L708" s="120"/>
      <c r="M708" s="119"/>
      <c r="N708" s="120"/>
      <c r="O708" s="119"/>
      <c r="P708" s="120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customFormat="false" ht="14.25" hidden="false" customHeight="true" outlineLevel="0" collapsed="false">
      <c r="A709" s="141"/>
      <c r="B709" s="142"/>
      <c r="C709" s="143"/>
      <c r="D709" s="144"/>
      <c r="E709" s="119"/>
      <c r="F709" s="120"/>
      <c r="G709" s="119"/>
      <c r="H709" s="120"/>
      <c r="I709" s="119"/>
      <c r="J709" s="120"/>
      <c r="K709" s="119"/>
      <c r="L709" s="120"/>
      <c r="M709" s="119"/>
      <c r="N709" s="120"/>
      <c r="O709" s="119"/>
      <c r="P709" s="120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customFormat="false" ht="14.25" hidden="false" customHeight="true" outlineLevel="0" collapsed="false">
      <c r="A710" s="141"/>
      <c r="B710" s="142"/>
      <c r="C710" s="143"/>
      <c r="D710" s="144"/>
      <c r="E710" s="119"/>
      <c r="F710" s="120"/>
      <c r="G710" s="119"/>
      <c r="H710" s="120"/>
      <c r="I710" s="119"/>
      <c r="J710" s="120"/>
      <c r="K710" s="119"/>
      <c r="L710" s="120"/>
      <c r="M710" s="119"/>
      <c r="N710" s="120"/>
      <c r="O710" s="119"/>
      <c r="P710" s="120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customFormat="false" ht="14.25" hidden="false" customHeight="true" outlineLevel="0" collapsed="false">
      <c r="A711" s="141"/>
      <c r="B711" s="142"/>
      <c r="C711" s="143"/>
      <c r="D711" s="144"/>
      <c r="E711" s="119"/>
      <c r="F711" s="120"/>
      <c r="G711" s="119"/>
      <c r="H711" s="120"/>
      <c r="I711" s="119"/>
      <c r="J711" s="120"/>
      <c r="K711" s="119"/>
      <c r="L711" s="120"/>
      <c r="M711" s="119"/>
      <c r="N711" s="120"/>
      <c r="O711" s="119"/>
      <c r="P711" s="120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customFormat="false" ht="14.25" hidden="false" customHeight="true" outlineLevel="0" collapsed="false">
      <c r="A712" s="141"/>
      <c r="B712" s="142"/>
      <c r="C712" s="143"/>
      <c r="D712" s="144"/>
      <c r="E712" s="119"/>
      <c r="F712" s="120"/>
      <c r="G712" s="119"/>
      <c r="H712" s="120"/>
      <c r="I712" s="119"/>
      <c r="J712" s="120"/>
      <c r="K712" s="119"/>
      <c r="L712" s="120"/>
      <c r="M712" s="119"/>
      <c r="N712" s="120"/>
      <c r="O712" s="119"/>
      <c r="P712" s="120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customFormat="false" ht="14.25" hidden="false" customHeight="true" outlineLevel="0" collapsed="false">
      <c r="A713" s="141"/>
      <c r="B713" s="142"/>
      <c r="C713" s="143"/>
      <c r="D713" s="144"/>
      <c r="E713" s="119"/>
      <c r="F713" s="120"/>
      <c r="G713" s="119"/>
      <c r="H713" s="120"/>
      <c r="I713" s="119"/>
      <c r="J713" s="120"/>
      <c r="K713" s="119"/>
      <c r="L713" s="120"/>
      <c r="M713" s="119"/>
      <c r="N713" s="120"/>
      <c r="O713" s="119"/>
      <c r="P713" s="120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customFormat="false" ht="14.25" hidden="false" customHeight="true" outlineLevel="0" collapsed="false">
      <c r="A714" s="141"/>
      <c r="B714" s="142"/>
      <c r="C714" s="143"/>
      <c r="D714" s="144"/>
      <c r="E714" s="119"/>
      <c r="F714" s="120"/>
      <c r="G714" s="119"/>
      <c r="H714" s="120"/>
      <c r="I714" s="119"/>
      <c r="J714" s="120"/>
      <c r="K714" s="119"/>
      <c r="L714" s="120"/>
      <c r="M714" s="119"/>
      <c r="N714" s="120"/>
      <c r="O714" s="119"/>
      <c r="P714" s="120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customFormat="false" ht="14.25" hidden="false" customHeight="true" outlineLevel="0" collapsed="false">
      <c r="A715" s="141"/>
      <c r="B715" s="142"/>
      <c r="C715" s="143"/>
      <c r="D715" s="144"/>
      <c r="E715" s="119"/>
      <c r="F715" s="120"/>
      <c r="G715" s="119"/>
      <c r="H715" s="120"/>
      <c r="I715" s="119"/>
      <c r="J715" s="120"/>
      <c r="K715" s="119"/>
      <c r="L715" s="120"/>
      <c r="M715" s="119"/>
      <c r="N715" s="120"/>
      <c r="O715" s="119"/>
      <c r="P715" s="120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customFormat="false" ht="14.25" hidden="false" customHeight="true" outlineLevel="0" collapsed="false">
      <c r="A716" s="141"/>
      <c r="B716" s="142"/>
      <c r="C716" s="143"/>
      <c r="D716" s="144"/>
      <c r="E716" s="119"/>
      <c r="F716" s="120"/>
      <c r="G716" s="119"/>
      <c r="H716" s="120"/>
      <c r="I716" s="119"/>
      <c r="J716" s="120"/>
      <c r="K716" s="119"/>
      <c r="L716" s="120"/>
      <c r="M716" s="119"/>
      <c r="N716" s="120"/>
      <c r="O716" s="119"/>
      <c r="P716" s="120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customFormat="false" ht="14.25" hidden="false" customHeight="true" outlineLevel="0" collapsed="false">
      <c r="A717" s="141"/>
      <c r="B717" s="142"/>
      <c r="C717" s="143"/>
      <c r="D717" s="144"/>
      <c r="E717" s="119"/>
      <c r="F717" s="120"/>
      <c r="G717" s="119"/>
      <c r="H717" s="120"/>
      <c r="I717" s="119"/>
      <c r="J717" s="120"/>
      <c r="K717" s="119"/>
      <c r="L717" s="120"/>
      <c r="M717" s="119"/>
      <c r="N717" s="120"/>
      <c r="O717" s="119"/>
      <c r="P717" s="120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customFormat="false" ht="14.25" hidden="false" customHeight="true" outlineLevel="0" collapsed="false">
      <c r="A718" s="141"/>
      <c r="B718" s="142"/>
      <c r="C718" s="143"/>
      <c r="D718" s="144"/>
      <c r="E718" s="119"/>
      <c r="F718" s="120"/>
      <c r="G718" s="119"/>
      <c r="H718" s="120"/>
      <c r="I718" s="119"/>
      <c r="J718" s="120"/>
      <c r="K718" s="119"/>
      <c r="L718" s="120"/>
      <c r="M718" s="119"/>
      <c r="N718" s="120"/>
      <c r="O718" s="119"/>
      <c r="P718" s="120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customFormat="false" ht="14.25" hidden="false" customHeight="true" outlineLevel="0" collapsed="false">
      <c r="A719" s="141"/>
      <c r="B719" s="142"/>
      <c r="C719" s="143"/>
      <c r="D719" s="144"/>
      <c r="E719" s="119"/>
      <c r="F719" s="120"/>
      <c r="G719" s="119"/>
      <c r="H719" s="120"/>
      <c r="I719" s="119"/>
      <c r="J719" s="120"/>
      <c r="K719" s="119"/>
      <c r="L719" s="120"/>
      <c r="M719" s="119"/>
      <c r="N719" s="120"/>
      <c r="O719" s="119"/>
      <c r="P719" s="120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customFormat="false" ht="14.25" hidden="false" customHeight="true" outlineLevel="0" collapsed="false">
      <c r="A720" s="141"/>
      <c r="B720" s="142"/>
      <c r="C720" s="143"/>
      <c r="D720" s="144"/>
      <c r="E720" s="119"/>
      <c r="F720" s="120"/>
      <c r="G720" s="119"/>
      <c r="H720" s="120"/>
      <c r="I720" s="119"/>
      <c r="J720" s="120"/>
      <c r="K720" s="119"/>
      <c r="L720" s="120"/>
      <c r="M720" s="119"/>
      <c r="N720" s="120"/>
      <c r="O720" s="119"/>
      <c r="P720" s="120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customFormat="false" ht="14.25" hidden="false" customHeight="true" outlineLevel="0" collapsed="false">
      <c r="A721" s="141"/>
      <c r="B721" s="142"/>
      <c r="C721" s="143"/>
      <c r="D721" s="144"/>
      <c r="E721" s="119"/>
      <c r="F721" s="120"/>
      <c r="G721" s="119"/>
      <c r="H721" s="120"/>
      <c r="I721" s="119"/>
      <c r="J721" s="120"/>
      <c r="K721" s="119"/>
      <c r="L721" s="120"/>
      <c r="M721" s="119"/>
      <c r="N721" s="120"/>
      <c r="O721" s="119"/>
      <c r="P721" s="120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customFormat="false" ht="14.25" hidden="false" customHeight="true" outlineLevel="0" collapsed="false">
      <c r="A722" s="141"/>
      <c r="B722" s="142"/>
      <c r="C722" s="143"/>
      <c r="D722" s="144"/>
      <c r="E722" s="119"/>
      <c r="F722" s="120"/>
      <c r="G722" s="119"/>
      <c r="H722" s="120"/>
      <c r="I722" s="119"/>
      <c r="J722" s="120"/>
      <c r="K722" s="119"/>
      <c r="L722" s="120"/>
      <c r="M722" s="119"/>
      <c r="N722" s="120"/>
      <c r="O722" s="119"/>
      <c r="P722" s="120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customFormat="false" ht="14.25" hidden="false" customHeight="true" outlineLevel="0" collapsed="false">
      <c r="A723" s="141"/>
      <c r="B723" s="142"/>
      <c r="C723" s="143"/>
      <c r="D723" s="144"/>
      <c r="E723" s="119"/>
      <c r="F723" s="120"/>
      <c r="G723" s="119"/>
      <c r="H723" s="120"/>
      <c r="I723" s="119"/>
      <c r="J723" s="120"/>
      <c r="K723" s="119"/>
      <c r="L723" s="120"/>
      <c r="M723" s="119"/>
      <c r="N723" s="120"/>
      <c r="O723" s="119"/>
      <c r="P723" s="120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customFormat="false" ht="14.25" hidden="false" customHeight="true" outlineLevel="0" collapsed="false">
      <c r="A724" s="141"/>
      <c r="B724" s="142"/>
      <c r="C724" s="143"/>
      <c r="D724" s="144"/>
      <c r="E724" s="119"/>
      <c r="F724" s="120"/>
      <c r="G724" s="119"/>
      <c r="H724" s="120"/>
      <c r="I724" s="119"/>
      <c r="J724" s="120"/>
      <c r="K724" s="119"/>
      <c r="L724" s="120"/>
      <c r="M724" s="119"/>
      <c r="N724" s="120"/>
      <c r="O724" s="119"/>
      <c r="P724" s="120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customFormat="false" ht="14.25" hidden="false" customHeight="true" outlineLevel="0" collapsed="false">
      <c r="A725" s="141"/>
      <c r="B725" s="142"/>
      <c r="C725" s="143"/>
      <c r="D725" s="144"/>
      <c r="E725" s="119"/>
      <c r="F725" s="120"/>
      <c r="G725" s="119"/>
      <c r="H725" s="120"/>
      <c r="I725" s="119"/>
      <c r="J725" s="120"/>
      <c r="K725" s="119"/>
      <c r="L725" s="120"/>
      <c r="M725" s="119"/>
      <c r="N725" s="120"/>
      <c r="O725" s="119"/>
      <c r="P725" s="120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customFormat="false" ht="14.25" hidden="false" customHeight="true" outlineLevel="0" collapsed="false">
      <c r="A726" s="141"/>
      <c r="B726" s="142"/>
      <c r="C726" s="143"/>
      <c r="D726" s="144"/>
      <c r="E726" s="119"/>
      <c r="F726" s="120"/>
      <c r="G726" s="119"/>
      <c r="H726" s="120"/>
      <c r="I726" s="119"/>
      <c r="J726" s="120"/>
      <c r="K726" s="119"/>
      <c r="L726" s="120"/>
      <c r="M726" s="119"/>
      <c r="N726" s="120"/>
      <c r="O726" s="119"/>
      <c r="P726" s="120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customFormat="false" ht="14.25" hidden="false" customHeight="true" outlineLevel="0" collapsed="false">
      <c r="A727" s="141"/>
      <c r="B727" s="142"/>
      <c r="C727" s="143"/>
      <c r="D727" s="144"/>
      <c r="E727" s="119"/>
      <c r="F727" s="120"/>
      <c r="G727" s="119"/>
      <c r="H727" s="120"/>
      <c r="I727" s="119"/>
      <c r="J727" s="120"/>
      <c r="K727" s="119"/>
      <c r="L727" s="120"/>
      <c r="M727" s="119"/>
      <c r="N727" s="120"/>
      <c r="O727" s="119"/>
      <c r="P727" s="120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customFormat="false" ht="14.25" hidden="false" customHeight="true" outlineLevel="0" collapsed="false">
      <c r="A728" s="141"/>
      <c r="B728" s="142"/>
      <c r="C728" s="143"/>
      <c r="D728" s="144"/>
      <c r="E728" s="119"/>
      <c r="F728" s="120"/>
      <c r="G728" s="119"/>
      <c r="H728" s="120"/>
      <c r="I728" s="119"/>
      <c r="J728" s="120"/>
      <c r="K728" s="119"/>
      <c r="L728" s="120"/>
      <c r="M728" s="119"/>
      <c r="N728" s="120"/>
      <c r="O728" s="119"/>
      <c r="P728" s="120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customFormat="false" ht="14.25" hidden="false" customHeight="true" outlineLevel="0" collapsed="false">
      <c r="A729" s="141"/>
      <c r="B729" s="142"/>
      <c r="C729" s="143"/>
      <c r="D729" s="144"/>
      <c r="E729" s="119"/>
      <c r="F729" s="120"/>
      <c r="G729" s="119"/>
      <c r="H729" s="120"/>
      <c r="I729" s="119"/>
      <c r="J729" s="120"/>
      <c r="K729" s="119"/>
      <c r="L729" s="120"/>
      <c r="M729" s="119"/>
      <c r="N729" s="120"/>
      <c r="O729" s="119"/>
      <c r="P729" s="120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customFormat="false" ht="14.25" hidden="false" customHeight="true" outlineLevel="0" collapsed="false">
      <c r="A730" s="141"/>
      <c r="B730" s="142"/>
      <c r="C730" s="143"/>
      <c r="D730" s="144"/>
      <c r="E730" s="119"/>
      <c r="F730" s="120"/>
      <c r="G730" s="119"/>
      <c r="H730" s="120"/>
      <c r="I730" s="119"/>
      <c r="J730" s="120"/>
      <c r="K730" s="119"/>
      <c r="L730" s="120"/>
      <c r="M730" s="119"/>
      <c r="N730" s="120"/>
      <c r="O730" s="119"/>
      <c r="P730" s="120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customFormat="false" ht="14.25" hidden="false" customHeight="true" outlineLevel="0" collapsed="false">
      <c r="A731" s="141"/>
      <c r="B731" s="142"/>
      <c r="C731" s="143"/>
      <c r="D731" s="144"/>
      <c r="E731" s="119"/>
      <c r="F731" s="120"/>
      <c r="G731" s="119"/>
      <c r="H731" s="120"/>
      <c r="I731" s="119"/>
      <c r="J731" s="120"/>
      <c r="K731" s="119"/>
      <c r="L731" s="120"/>
      <c r="M731" s="119"/>
      <c r="N731" s="120"/>
      <c r="O731" s="119"/>
      <c r="P731" s="120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customFormat="false" ht="14.25" hidden="false" customHeight="true" outlineLevel="0" collapsed="false">
      <c r="A732" s="141"/>
      <c r="B732" s="142"/>
      <c r="C732" s="143"/>
      <c r="D732" s="144"/>
      <c r="E732" s="119"/>
      <c r="F732" s="120"/>
      <c r="G732" s="119"/>
      <c r="H732" s="120"/>
      <c r="I732" s="119"/>
      <c r="J732" s="120"/>
      <c r="K732" s="119"/>
      <c r="L732" s="120"/>
      <c r="M732" s="119"/>
      <c r="N732" s="120"/>
      <c r="O732" s="119"/>
      <c r="P732" s="120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customFormat="false" ht="14.25" hidden="false" customHeight="true" outlineLevel="0" collapsed="false">
      <c r="A733" s="141"/>
      <c r="B733" s="142"/>
      <c r="C733" s="143"/>
      <c r="D733" s="144"/>
      <c r="E733" s="119"/>
      <c r="F733" s="120"/>
      <c r="G733" s="119"/>
      <c r="H733" s="120"/>
      <c r="I733" s="119"/>
      <c r="J733" s="120"/>
      <c r="K733" s="119"/>
      <c r="L733" s="120"/>
      <c r="M733" s="119"/>
      <c r="N733" s="120"/>
      <c r="O733" s="119"/>
      <c r="P733" s="120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customFormat="false" ht="14.25" hidden="false" customHeight="true" outlineLevel="0" collapsed="false">
      <c r="A734" s="141"/>
      <c r="B734" s="142"/>
      <c r="C734" s="143"/>
      <c r="D734" s="144"/>
      <c r="E734" s="119"/>
      <c r="F734" s="120"/>
      <c r="G734" s="119"/>
      <c r="H734" s="120"/>
      <c r="I734" s="119"/>
      <c r="J734" s="120"/>
      <c r="K734" s="119"/>
      <c r="L734" s="120"/>
      <c r="M734" s="119"/>
      <c r="N734" s="120"/>
      <c r="O734" s="119"/>
      <c r="P734" s="120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customFormat="false" ht="14.25" hidden="false" customHeight="true" outlineLevel="0" collapsed="false">
      <c r="A735" s="141"/>
      <c r="B735" s="142"/>
      <c r="C735" s="143"/>
      <c r="D735" s="144"/>
      <c r="E735" s="119"/>
      <c r="F735" s="120"/>
      <c r="G735" s="119"/>
      <c r="H735" s="120"/>
      <c r="I735" s="119"/>
      <c r="J735" s="120"/>
      <c r="K735" s="119"/>
      <c r="L735" s="120"/>
      <c r="M735" s="119"/>
      <c r="N735" s="120"/>
      <c r="O735" s="119"/>
      <c r="P735" s="120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customFormat="false" ht="14.25" hidden="false" customHeight="true" outlineLevel="0" collapsed="false">
      <c r="A736" s="141"/>
      <c r="B736" s="142"/>
      <c r="C736" s="143"/>
      <c r="D736" s="144"/>
      <c r="E736" s="119"/>
      <c r="F736" s="120"/>
      <c r="G736" s="119"/>
      <c r="H736" s="120"/>
      <c r="I736" s="119"/>
      <c r="J736" s="120"/>
      <c r="K736" s="119"/>
      <c r="L736" s="120"/>
      <c r="M736" s="119"/>
      <c r="N736" s="120"/>
      <c r="O736" s="119"/>
      <c r="P736" s="120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customFormat="false" ht="14.25" hidden="false" customHeight="true" outlineLevel="0" collapsed="false">
      <c r="A737" s="141"/>
      <c r="B737" s="142"/>
      <c r="C737" s="143"/>
      <c r="D737" s="144"/>
      <c r="E737" s="119"/>
      <c r="F737" s="120"/>
      <c r="G737" s="119"/>
      <c r="H737" s="120"/>
      <c r="I737" s="119"/>
      <c r="J737" s="120"/>
      <c r="K737" s="119"/>
      <c r="L737" s="120"/>
      <c r="M737" s="119"/>
      <c r="N737" s="120"/>
      <c r="O737" s="119"/>
      <c r="P737" s="120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customFormat="false" ht="14.25" hidden="false" customHeight="true" outlineLevel="0" collapsed="false">
      <c r="A738" s="141"/>
      <c r="B738" s="142"/>
      <c r="C738" s="143"/>
      <c r="D738" s="144"/>
      <c r="E738" s="119"/>
      <c r="F738" s="120"/>
      <c r="G738" s="119"/>
      <c r="H738" s="120"/>
      <c r="I738" s="119"/>
      <c r="J738" s="120"/>
      <c r="K738" s="119"/>
      <c r="L738" s="120"/>
      <c r="M738" s="119"/>
      <c r="N738" s="120"/>
      <c r="O738" s="119"/>
      <c r="P738" s="120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customFormat="false" ht="14.25" hidden="false" customHeight="true" outlineLevel="0" collapsed="false">
      <c r="A739" s="141"/>
      <c r="B739" s="142"/>
      <c r="C739" s="143"/>
      <c r="D739" s="144"/>
      <c r="E739" s="119"/>
      <c r="F739" s="120"/>
      <c r="G739" s="119"/>
      <c r="H739" s="120"/>
      <c r="I739" s="119"/>
      <c r="J739" s="120"/>
      <c r="K739" s="119"/>
      <c r="L739" s="120"/>
      <c r="M739" s="119"/>
      <c r="N739" s="120"/>
      <c r="O739" s="119"/>
      <c r="P739" s="120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customFormat="false" ht="14.25" hidden="false" customHeight="true" outlineLevel="0" collapsed="false">
      <c r="A740" s="141"/>
      <c r="B740" s="142"/>
      <c r="C740" s="143"/>
      <c r="D740" s="144"/>
      <c r="E740" s="119"/>
      <c r="F740" s="120"/>
      <c r="G740" s="119"/>
      <c r="H740" s="120"/>
      <c r="I740" s="119"/>
      <c r="J740" s="120"/>
      <c r="K740" s="119"/>
      <c r="L740" s="120"/>
      <c r="M740" s="119"/>
      <c r="N740" s="120"/>
      <c r="O740" s="119"/>
      <c r="P740" s="120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customFormat="false" ht="14.25" hidden="false" customHeight="true" outlineLevel="0" collapsed="false">
      <c r="A741" s="141"/>
      <c r="B741" s="142"/>
      <c r="C741" s="143"/>
      <c r="D741" s="144"/>
      <c r="E741" s="119"/>
      <c r="F741" s="120"/>
      <c r="G741" s="119"/>
      <c r="H741" s="120"/>
      <c r="I741" s="119"/>
      <c r="J741" s="120"/>
      <c r="K741" s="119"/>
      <c r="L741" s="120"/>
      <c r="M741" s="119"/>
      <c r="N741" s="120"/>
      <c r="O741" s="119"/>
      <c r="P741" s="120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customFormat="false" ht="14.25" hidden="false" customHeight="true" outlineLevel="0" collapsed="false">
      <c r="A742" s="141"/>
      <c r="B742" s="142"/>
      <c r="C742" s="143"/>
      <c r="D742" s="144"/>
      <c r="E742" s="119"/>
      <c r="F742" s="120"/>
      <c r="G742" s="119"/>
      <c r="H742" s="120"/>
      <c r="I742" s="119"/>
      <c r="J742" s="120"/>
      <c r="K742" s="119"/>
      <c r="L742" s="120"/>
      <c r="M742" s="119"/>
      <c r="N742" s="120"/>
      <c r="O742" s="119"/>
      <c r="P742" s="120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customFormat="false" ht="14.25" hidden="false" customHeight="true" outlineLevel="0" collapsed="false">
      <c r="A743" s="141"/>
      <c r="B743" s="142"/>
      <c r="C743" s="143"/>
      <c r="D743" s="144"/>
      <c r="E743" s="119"/>
      <c r="F743" s="120"/>
      <c r="G743" s="119"/>
      <c r="H743" s="120"/>
      <c r="I743" s="119"/>
      <c r="J743" s="120"/>
      <c r="K743" s="119"/>
      <c r="L743" s="120"/>
      <c r="M743" s="119"/>
      <c r="N743" s="120"/>
      <c r="O743" s="119"/>
      <c r="P743" s="120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customFormat="false" ht="14.25" hidden="false" customHeight="true" outlineLevel="0" collapsed="false">
      <c r="A744" s="141"/>
      <c r="B744" s="142"/>
      <c r="C744" s="143"/>
      <c r="D744" s="144"/>
      <c r="E744" s="119"/>
      <c r="F744" s="120"/>
      <c r="G744" s="119"/>
      <c r="H744" s="120"/>
      <c r="I744" s="119"/>
      <c r="J744" s="120"/>
      <c r="K744" s="119"/>
      <c r="L744" s="120"/>
      <c r="M744" s="119"/>
      <c r="N744" s="120"/>
      <c r="O744" s="119"/>
      <c r="P744" s="120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customFormat="false" ht="14.25" hidden="false" customHeight="true" outlineLevel="0" collapsed="false">
      <c r="A745" s="141"/>
      <c r="B745" s="142"/>
      <c r="C745" s="143"/>
      <c r="D745" s="144"/>
      <c r="E745" s="119"/>
      <c r="F745" s="120"/>
      <c r="G745" s="119"/>
      <c r="H745" s="120"/>
      <c r="I745" s="119"/>
      <c r="J745" s="120"/>
      <c r="K745" s="119"/>
      <c r="L745" s="120"/>
      <c r="M745" s="119"/>
      <c r="N745" s="120"/>
      <c r="O745" s="119"/>
      <c r="P745" s="120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customFormat="false" ht="14.25" hidden="false" customHeight="true" outlineLevel="0" collapsed="false">
      <c r="A746" s="141"/>
      <c r="B746" s="142"/>
      <c r="C746" s="143"/>
      <c r="D746" s="144"/>
      <c r="E746" s="119"/>
      <c r="F746" s="120"/>
      <c r="G746" s="119"/>
      <c r="H746" s="120"/>
      <c r="I746" s="119"/>
      <c r="J746" s="120"/>
      <c r="K746" s="119"/>
      <c r="L746" s="120"/>
      <c r="M746" s="119"/>
      <c r="N746" s="120"/>
      <c r="O746" s="119"/>
      <c r="P746" s="120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customFormat="false" ht="14.25" hidden="false" customHeight="true" outlineLevel="0" collapsed="false">
      <c r="A747" s="141"/>
      <c r="B747" s="142"/>
      <c r="C747" s="143"/>
      <c r="D747" s="144"/>
      <c r="E747" s="119"/>
      <c r="F747" s="120"/>
      <c r="G747" s="119"/>
      <c r="H747" s="120"/>
      <c r="I747" s="119"/>
      <c r="J747" s="120"/>
      <c r="K747" s="119"/>
      <c r="L747" s="120"/>
      <c r="M747" s="119"/>
      <c r="N747" s="120"/>
      <c r="O747" s="119"/>
      <c r="P747" s="120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customFormat="false" ht="14.25" hidden="false" customHeight="true" outlineLevel="0" collapsed="false">
      <c r="A748" s="141"/>
      <c r="B748" s="142"/>
      <c r="C748" s="143"/>
      <c r="D748" s="144"/>
      <c r="E748" s="119"/>
      <c r="F748" s="120"/>
      <c r="G748" s="119"/>
      <c r="H748" s="120"/>
      <c r="I748" s="119"/>
      <c r="J748" s="120"/>
      <c r="K748" s="119"/>
      <c r="L748" s="120"/>
      <c r="M748" s="119"/>
      <c r="N748" s="120"/>
      <c r="O748" s="119"/>
      <c r="P748" s="120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customFormat="false" ht="14.25" hidden="false" customHeight="true" outlineLevel="0" collapsed="false">
      <c r="A749" s="141"/>
      <c r="B749" s="142"/>
      <c r="C749" s="143"/>
      <c r="D749" s="144"/>
      <c r="E749" s="119"/>
      <c r="F749" s="120"/>
      <c r="G749" s="119"/>
      <c r="H749" s="120"/>
      <c r="I749" s="119"/>
      <c r="J749" s="120"/>
      <c r="K749" s="119"/>
      <c r="L749" s="120"/>
      <c r="M749" s="119"/>
      <c r="N749" s="120"/>
      <c r="O749" s="119"/>
      <c r="P749" s="120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customFormat="false" ht="14.25" hidden="false" customHeight="true" outlineLevel="0" collapsed="false">
      <c r="A750" s="141"/>
      <c r="B750" s="142"/>
      <c r="C750" s="143"/>
      <c r="D750" s="144"/>
      <c r="E750" s="119"/>
      <c r="F750" s="120"/>
      <c r="G750" s="119"/>
      <c r="H750" s="120"/>
      <c r="I750" s="119"/>
      <c r="J750" s="120"/>
      <c r="K750" s="119"/>
      <c r="L750" s="120"/>
      <c r="M750" s="119"/>
      <c r="N750" s="120"/>
      <c r="O750" s="119"/>
      <c r="P750" s="120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customFormat="false" ht="14.25" hidden="false" customHeight="true" outlineLevel="0" collapsed="false">
      <c r="A751" s="141"/>
      <c r="B751" s="142"/>
      <c r="C751" s="143"/>
      <c r="D751" s="144"/>
      <c r="E751" s="119"/>
      <c r="F751" s="120"/>
      <c r="G751" s="119"/>
      <c r="H751" s="120"/>
      <c r="I751" s="119"/>
      <c r="J751" s="120"/>
      <c r="K751" s="119"/>
      <c r="L751" s="120"/>
      <c r="M751" s="119"/>
      <c r="N751" s="120"/>
      <c r="O751" s="119"/>
      <c r="P751" s="120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customFormat="false" ht="14.25" hidden="false" customHeight="true" outlineLevel="0" collapsed="false">
      <c r="A752" s="141"/>
      <c r="B752" s="142"/>
      <c r="C752" s="143"/>
      <c r="D752" s="144"/>
      <c r="E752" s="119"/>
      <c r="F752" s="120"/>
      <c r="G752" s="119"/>
      <c r="H752" s="120"/>
      <c r="I752" s="119"/>
      <c r="J752" s="120"/>
      <c r="K752" s="119"/>
      <c r="L752" s="120"/>
      <c r="M752" s="119"/>
      <c r="N752" s="120"/>
      <c r="O752" s="119"/>
      <c r="P752" s="120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customFormat="false" ht="14.25" hidden="false" customHeight="true" outlineLevel="0" collapsed="false">
      <c r="A753" s="141"/>
      <c r="B753" s="142"/>
      <c r="C753" s="143"/>
      <c r="D753" s="144"/>
      <c r="E753" s="119"/>
      <c r="F753" s="120"/>
      <c r="G753" s="119"/>
      <c r="H753" s="120"/>
      <c r="I753" s="119"/>
      <c r="J753" s="120"/>
      <c r="K753" s="119"/>
      <c r="L753" s="120"/>
      <c r="M753" s="119"/>
      <c r="N753" s="120"/>
      <c r="O753" s="119"/>
      <c r="P753" s="120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customFormat="false" ht="14.25" hidden="false" customHeight="true" outlineLevel="0" collapsed="false">
      <c r="A754" s="141"/>
      <c r="B754" s="142"/>
      <c r="C754" s="143"/>
      <c r="D754" s="144"/>
      <c r="E754" s="119"/>
      <c r="F754" s="120"/>
      <c r="G754" s="119"/>
      <c r="H754" s="120"/>
      <c r="I754" s="119"/>
      <c r="J754" s="120"/>
      <c r="K754" s="119"/>
      <c r="L754" s="120"/>
      <c r="M754" s="119"/>
      <c r="N754" s="120"/>
      <c r="O754" s="119"/>
      <c r="P754" s="120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customFormat="false" ht="14.25" hidden="false" customHeight="true" outlineLevel="0" collapsed="false">
      <c r="A755" s="141"/>
      <c r="B755" s="142"/>
      <c r="C755" s="143"/>
      <c r="D755" s="144"/>
      <c r="E755" s="119"/>
      <c r="F755" s="120"/>
      <c r="G755" s="119"/>
      <c r="H755" s="120"/>
      <c r="I755" s="119"/>
      <c r="J755" s="120"/>
      <c r="K755" s="119"/>
      <c r="L755" s="120"/>
      <c r="M755" s="119"/>
      <c r="N755" s="120"/>
      <c r="O755" s="119"/>
      <c r="P755" s="120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customFormat="false" ht="14.25" hidden="false" customHeight="true" outlineLevel="0" collapsed="false">
      <c r="A756" s="141"/>
      <c r="B756" s="142"/>
      <c r="C756" s="143"/>
      <c r="D756" s="144"/>
      <c r="E756" s="119"/>
      <c r="F756" s="120"/>
      <c r="G756" s="119"/>
      <c r="H756" s="120"/>
      <c r="I756" s="119"/>
      <c r="J756" s="120"/>
      <c r="K756" s="119"/>
      <c r="L756" s="120"/>
      <c r="M756" s="119"/>
      <c r="N756" s="120"/>
      <c r="O756" s="119"/>
      <c r="P756" s="120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customFormat="false" ht="14.25" hidden="false" customHeight="true" outlineLevel="0" collapsed="false">
      <c r="A757" s="141"/>
      <c r="B757" s="142"/>
      <c r="C757" s="143"/>
      <c r="D757" s="144"/>
      <c r="E757" s="119"/>
      <c r="F757" s="120"/>
      <c r="G757" s="119"/>
      <c r="H757" s="120"/>
      <c r="I757" s="119"/>
      <c r="J757" s="120"/>
      <c r="K757" s="119"/>
      <c r="L757" s="120"/>
      <c r="M757" s="119"/>
      <c r="N757" s="120"/>
      <c r="O757" s="119"/>
      <c r="P757" s="120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customFormat="false" ht="14.25" hidden="false" customHeight="true" outlineLevel="0" collapsed="false">
      <c r="A758" s="141"/>
      <c r="B758" s="142"/>
      <c r="C758" s="143"/>
      <c r="D758" s="144"/>
      <c r="E758" s="119"/>
      <c r="F758" s="120"/>
      <c r="G758" s="119"/>
      <c r="H758" s="120"/>
      <c r="I758" s="119"/>
      <c r="J758" s="120"/>
      <c r="K758" s="119"/>
      <c r="L758" s="120"/>
      <c r="M758" s="119"/>
      <c r="N758" s="120"/>
      <c r="O758" s="119"/>
      <c r="P758" s="120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customFormat="false" ht="14.25" hidden="false" customHeight="true" outlineLevel="0" collapsed="false">
      <c r="A759" s="141"/>
      <c r="B759" s="142"/>
      <c r="C759" s="143"/>
      <c r="D759" s="144"/>
      <c r="E759" s="119"/>
      <c r="F759" s="120"/>
      <c r="G759" s="119"/>
      <c r="H759" s="120"/>
      <c r="I759" s="119"/>
      <c r="J759" s="120"/>
      <c r="K759" s="119"/>
      <c r="L759" s="120"/>
      <c r="M759" s="119"/>
      <c r="N759" s="120"/>
      <c r="O759" s="119"/>
      <c r="P759" s="120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customFormat="false" ht="14.25" hidden="false" customHeight="true" outlineLevel="0" collapsed="false">
      <c r="A760" s="141"/>
      <c r="B760" s="142"/>
      <c r="C760" s="143"/>
      <c r="D760" s="144"/>
      <c r="E760" s="119"/>
      <c r="F760" s="120"/>
      <c r="G760" s="119"/>
      <c r="H760" s="120"/>
      <c r="I760" s="119"/>
      <c r="J760" s="120"/>
      <c r="K760" s="119"/>
      <c r="L760" s="120"/>
      <c r="M760" s="119"/>
      <c r="N760" s="120"/>
      <c r="O760" s="119"/>
      <c r="P760" s="120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customFormat="false" ht="14.25" hidden="false" customHeight="true" outlineLevel="0" collapsed="false">
      <c r="A761" s="141"/>
      <c r="B761" s="142"/>
      <c r="C761" s="143"/>
      <c r="D761" s="144"/>
      <c r="E761" s="119"/>
      <c r="F761" s="120"/>
      <c r="G761" s="119"/>
      <c r="H761" s="120"/>
      <c r="I761" s="119"/>
      <c r="J761" s="120"/>
      <c r="K761" s="119"/>
      <c r="L761" s="120"/>
      <c r="M761" s="119"/>
      <c r="N761" s="120"/>
      <c r="O761" s="119"/>
      <c r="P761" s="120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customFormat="false" ht="14.25" hidden="false" customHeight="true" outlineLevel="0" collapsed="false">
      <c r="A762" s="141"/>
      <c r="B762" s="142"/>
      <c r="C762" s="143"/>
      <c r="D762" s="144"/>
      <c r="E762" s="119"/>
      <c r="F762" s="120"/>
      <c r="G762" s="119"/>
      <c r="H762" s="120"/>
      <c r="I762" s="119"/>
      <c r="J762" s="120"/>
      <c r="K762" s="119"/>
      <c r="L762" s="120"/>
      <c r="M762" s="119"/>
      <c r="N762" s="120"/>
      <c r="O762" s="119"/>
      <c r="P762" s="120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customFormat="false" ht="14.25" hidden="false" customHeight="true" outlineLevel="0" collapsed="false">
      <c r="A763" s="141"/>
      <c r="B763" s="142"/>
      <c r="C763" s="143"/>
      <c r="D763" s="144"/>
      <c r="E763" s="119"/>
      <c r="F763" s="120"/>
      <c r="G763" s="119"/>
      <c r="H763" s="120"/>
      <c r="I763" s="119"/>
      <c r="J763" s="120"/>
      <c r="K763" s="119"/>
      <c r="L763" s="120"/>
      <c r="M763" s="119"/>
      <c r="N763" s="120"/>
      <c r="O763" s="119"/>
      <c r="P763" s="120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customFormat="false" ht="14.25" hidden="false" customHeight="true" outlineLevel="0" collapsed="false">
      <c r="A764" s="141"/>
      <c r="B764" s="142"/>
      <c r="C764" s="143"/>
      <c r="D764" s="144"/>
      <c r="E764" s="119"/>
      <c r="F764" s="120"/>
      <c r="G764" s="119"/>
      <c r="H764" s="120"/>
      <c r="I764" s="119"/>
      <c r="J764" s="120"/>
      <c r="K764" s="119"/>
      <c r="L764" s="120"/>
      <c r="M764" s="119"/>
      <c r="N764" s="120"/>
      <c r="O764" s="119"/>
      <c r="P764" s="120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customFormat="false" ht="14.25" hidden="false" customHeight="true" outlineLevel="0" collapsed="false">
      <c r="A765" s="141"/>
      <c r="B765" s="142"/>
      <c r="C765" s="143"/>
      <c r="D765" s="144"/>
      <c r="E765" s="119"/>
      <c r="F765" s="120"/>
      <c r="G765" s="119"/>
      <c r="H765" s="120"/>
      <c r="I765" s="119"/>
      <c r="J765" s="120"/>
      <c r="K765" s="119"/>
      <c r="L765" s="120"/>
      <c r="M765" s="119"/>
      <c r="N765" s="120"/>
      <c r="O765" s="119"/>
      <c r="P765" s="120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customFormat="false" ht="14.25" hidden="false" customHeight="true" outlineLevel="0" collapsed="false">
      <c r="A766" s="141"/>
      <c r="B766" s="142"/>
      <c r="C766" s="143"/>
      <c r="D766" s="144"/>
      <c r="E766" s="119"/>
      <c r="F766" s="120"/>
      <c r="G766" s="119"/>
      <c r="H766" s="120"/>
      <c r="I766" s="119"/>
      <c r="J766" s="120"/>
      <c r="K766" s="119"/>
      <c r="L766" s="120"/>
      <c r="M766" s="119"/>
      <c r="N766" s="120"/>
      <c r="O766" s="119"/>
      <c r="P766" s="120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customFormat="false" ht="14.25" hidden="false" customHeight="true" outlineLevel="0" collapsed="false">
      <c r="A767" s="141"/>
      <c r="B767" s="142"/>
      <c r="C767" s="143"/>
      <c r="D767" s="144"/>
      <c r="E767" s="119"/>
      <c r="F767" s="120"/>
      <c r="G767" s="119"/>
      <c r="H767" s="120"/>
      <c r="I767" s="119"/>
      <c r="J767" s="120"/>
      <c r="K767" s="119"/>
      <c r="L767" s="120"/>
      <c r="M767" s="119"/>
      <c r="N767" s="120"/>
      <c r="O767" s="119"/>
      <c r="P767" s="120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customFormat="false" ht="14.25" hidden="false" customHeight="true" outlineLevel="0" collapsed="false">
      <c r="A768" s="141"/>
      <c r="B768" s="142"/>
      <c r="C768" s="143"/>
      <c r="D768" s="144"/>
      <c r="E768" s="119"/>
      <c r="F768" s="120"/>
      <c r="G768" s="119"/>
      <c r="H768" s="120"/>
      <c r="I768" s="119"/>
      <c r="J768" s="120"/>
      <c r="K768" s="119"/>
      <c r="L768" s="120"/>
      <c r="M768" s="119"/>
      <c r="N768" s="120"/>
      <c r="O768" s="119"/>
      <c r="P768" s="120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customFormat="false" ht="14.25" hidden="false" customHeight="true" outlineLevel="0" collapsed="false">
      <c r="A769" s="141"/>
      <c r="B769" s="142"/>
      <c r="C769" s="143"/>
      <c r="D769" s="144"/>
      <c r="E769" s="119"/>
      <c r="F769" s="120"/>
      <c r="G769" s="119"/>
      <c r="H769" s="120"/>
      <c r="I769" s="119"/>
      <c r="J769" s="120"/>
      <c r="K769" s="119"/>
      <c r="L769" s="120"/>
      <c r="M769" s="119"/>
      <c r="N769" s="120"/>
      <c r="O769" s="119"/>
      <c r="P769" s="120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customFormat="false" ht="14.25" hidden="false" customHeight="true" outlineLevel="0" collapsed="false">
      <c r="A770" s="141"/>
      <c r="B770" s="142"/>
      <c r="C770" s="143"/>
      <c r="D770" s="144"/>
      <c r="E770" s="119"/>
      <c r="F770" s="120"/>
      <c r="G770" s="119"/>
      <c r="H770" s="120"/>
      <c r="I770" s="119"/>
      <c r="J770" s="120"/>
      <c r="K770" s="119"/>
      <c r="L770" s="120"/>
      <c r="M770" s="119"/>
      <c r="N770" s="120"/>
      <c r="O770" s="119"/>
      <c r="P770" s="120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customFormat="false" ht="14.25" hidden="false" customHeight="true" outlineLevel="0" collapsed="false">
      <c r="A771" s="141"/>
      <c r="B771" s="142"/>
      <c r="C771" s="143"/>
      <c r="D771" s="144"/>
      <c r="E771" s="119"/>
      <c r="F771" s="120"/>
      <c r="G771" s="119"/>
      <c r="H771" s="120"/>
      <c r="I771" s="119"/>
      <c r="J771" s="120"/>
      <c r="K771" s="119"/>
      <c r="L771" s="120"/>
      <c r="M771" s="119"/>
      <c r="N771" s="120"/>
      <c r="O771" s="119"/>
      <c r="P771" s="120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customFormat="false" ht="14.25" hidden="false" customHeight="true" outlineLevel="0" collapsed="false">
      <c r="A772" s="141"/>
      <c r="B772" s="142"/>
      <c r="C772" s="143"/>
      <c r="D772" s="144"/>
      <c r="E772" s="119"/>
      <c r="F772" s="120"/>
      <c r="G772" s="119"/>
      <c r="H772" s="120"/>
      <c r="I772" s="119"/>
      <c r="J772" s="120"/>
      <c r="K772" s="119"/>
      <c r="L772" s="120"/>
      <c r="M772" s="119"/>
      <c r="N772" s="120"/>
      <c r="O772" s="119"/>
      <c r="P772" s="120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customFormat="false" ht="14.25" hidden="false" customHeight="true" outlineLevel="0" collapsed="false">
      <c r="A773" s="141"/>
      <c r="B773" s="142"/>
      <c r="C773" s="143"/>
      <c r="D773" s="144"/>
      <c r="E773" s="119"/>
      <c r="F773" s="120"/>
      <c r="G773" s="119"/>
      <c r="H773" s="120"/>
      <c r="I773" s="119"/>
      <c r="J773" s="120"/>
      <c r="K773" s="119"/>
      <c r="L773" s="120"/>
      <c r="M773" s="119"/>
      <c r="N773" s="120"/>
      <c r="O773" s="119"/>
      <c r="P773" s="120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customFormat="false" ht="14.25" hidden="false" customHeight="true" outlineLevel="0" collapsed="false">
      <c r="A774" s="141"/>
      <c r="B774" s="142"/>
      <c r="C774" s="143"/>
      <c r="D774" s="144"/>
      <c r="E774" s="119"/>
      <c r="F774" s="120"/>
      <c r="G774" s="119"/>
      <c r="H774" s="120"/>
      <c r="I774" s="119"/>
      <c r="J774" s="120"/>
      <c r="K774" s="119"/>
      <c r="L774" s="120"/>
      <c r="M774" s="119"/>
      <c r="N774" s="120"/>
      <c r="O774" s="119"/>
      <c r="P774" s="120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customFormat="false" ht="14.25" hidden="false" customHeight="true" outlineLevel="0" collapsed="false">
      <c r="A775" s="141"/>
      <c r="B775" s="142"/>
      <c r="C775" s="143"/>
      <c r="D775" s="144"/>
      <c r="E775" s="119"/>
      <c r="F775" s="120"/>
      <c r="G775" s="119"/>
      <c r="H775" s="120"/>
      <c r="I775" s="119"/>
      <c r="J775" s="120"/>
      <c r="K775" s="119"/>
      <c r="L775" s="120"/>
      <c r="M775" s="119"/>
      <c r="N775" s="120"/>
      <c r="O775" s="119"/>
      <c r="P775" s="120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customFormat="false" ht="14.25" hidden="false" customHeight="true" outlineLevel="0" collapsed="false">
      <c r="A776" s="141"/>
      <c r="B776" s="142"/>
      <c r="C776" s="143"/>
      <c r="D776" s="144"/>
      <c r="E776" s="119"/>
      <c r="F776" s="120"/>
      <c r="G776" s="119"/>
      <c r="H776" s="120"/>
      <c r="I776" s="119"/>
      <c r="J776" s="120"/>
      <c r="K776" s="119"/>
      <c r="L776" s="120"/>
      <c r="M776" s="119"/>
      <c r="N776" s="120"/>
      <c r="O776" s="119"/>
      <c r="P776" s="120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customFormat="false" ht="14.25" hidden="false" customHeight="true" outlineLevel="0" collapsed="false">
      <c r="A777" s="141"/>
      <c r="B777" s="142"/>
      <c r="C777" s="143"/>
      <c r="D777" s="144"/>
      <c r="E777" s="119"/>
      <c r="F777" s="120"/>
      <c r="G777" s="119"/>
      <c r="H777" s="120"/>
      <c r="I777" s="119"/>
      <c r="J777" s="120"/>
      <c r="K777" s="119"/>
      <c r="L777" s="120"/>
      <c r="M777" s="119"/>
      <c r="N777" s="120"/>
      <c r="O777" s="119"/>
      <c r="P777" s="120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customFormat="false" ht="14.25" hidden="false" customHeight="true" outlineLevel="0" collapsed="false">
      <c r="A778" s="141"/>
      <c r="B778" s="142"/>
      <c r="C778" s="143"/>
      <c r="D778" s="144"/>
      <c r="E778" s="119"/>
      <c r="F778" s="120"/>
      <c r="G778" s="119"/>
      <c r="H778" s="120"/>
      <c r="I778" s="119"/>
      <c r="J778" s="120"/>
      <c r="K778" s="119"/>
      <c r="L778" s="120"/>
      <c r="M778" s="119"/>
      <c r="N778" s="120"/>
      <c r="O778" s="119"/>
      <c r="P778" s="120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customFormat="false" ht="14.25" hidden="false" customHeight="true" outlineLevel="0" collapsed="false">
      <c r="A779" s="141"/>
      <c r="B779" s="142"/>
      <c r="C779" s="143"/>
      <c r="D779" s="144"/>
      <c r="E779" s="119"/>
      <c r="F779" s="120"/>
      <c r="G779" s="119"/>
      <c r="H779" s="120"/>
      <c r="I779" s="119"/>
      <c r="J779" s="120"/>
      <c r="K779" s="119"/>
      <c r="L779" s="120"/>
      <c r="M779" s="119"/>
      <c r="N779" s="120"/>
      <c r="O779" s="119"/>
      <c r="P779" s="120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customFormat="false" ht="14.25" hidden="false" customHeight="true" outlineLevel="0" collapsed="false">
      <c r="A780" s="141"/>
      <c r="B780" s="142"/>
      <c r="C780" s="143"/>
      <c r="D780" s="144"/>
      <c r="E780" s="119"/>
      <c r="F780" s="120"/>
      <c r="G780" s="119"/>
      <c r="H780" s="120"/>
      <c r="I780" s="119"/>
      <c r="J780" s="120"/>
      <c r="K780" s="119"/>
      <c r="L780" s="120"/>
      <c r="M780" s="119"/>
      <c r="N780" s="120"/>
      <c r="O780" s="119"/>
      <c r="P780" s="120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customFormat="false" ht="14.25" hidden="false" customHeight="true" outlineLevel="0" collapsed="false">
      <c r="A781" s="141"/>
      <c r="B781" s="142"/>
      <c r="C781" s="143"/>
      <c r="D781" s="144"/>
      <c r="E781" s="119"/>
      <c r="F781" s="120"/>
      <c r="G781" s="119"/>
      <c r="H781" s="120"/>
      <c r="I781" s="119"/>
      <c r="J781" s="120"/>
      <c r="K781" s="119"/>
      <c r="L781" s="120"/>
      <c r="M781" s="119"/>
      <c r="N781" s="120"/>
      <c r="O781" s="119"/>
      <c r="P781" s="120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customFormat="false" ht="14.25" hidden="false" customHeight="true" outlineLevel="0" collapsed="false">
      <c r="A782" s="141"/>
      <c r="B782" s="142"/>
      <c r="C782" s="143"/>
      <c r="D782" s="144"/>
      <c r="E782" s="119"/>
      <c r="F782" s="120"/>
      <c r="G782" s="119"/>
      <c r="H782" s="120"/>
      <c r="I782" s="119"/>
      <c r="J782" s="120"/>
      <c r="K782" s="119"/>
      <c r="L782" s="120"/>
      <c r="M782" s="119"/>
      <c r="N782" s="120"/>
      <c r="O782" s="119"/>
      <c r="P782" s="120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customFormat="false" ht="14.25" hidden="false" customHeight="true" outlineLevel="0" collapsed="false">
      <c r="A783" s="141"/>
      <c r="B783" s="142"/>
      <c r="C783" s="143"/>
      <c r="D783" s="144"/>
      <c r="E783" s="119"/>
      <c r="F783" s="120"/>
      <c r="G783" s="119"/>
      <c r="H783" s="120"/>
      <c r="I783" s="119"/>
      <c r="J783" s="120"/>
      <c r="K783" s="119"/>
      <c r="L783" s="120"/>
      <c r="M783" s="119"/>
      <c r="N783" s="120"/>
      <c r="O783" s="119"/>
      <c r="P783" s="120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customFormat="false" ht="14.25" hidden="false" customHeight="true" outlineLevel="0" collapsed="false">
      <c r="A784" s="141"/>
      <c r="B784" s="142"/>
      <c r="C784" s="143"/>
      <c r="D784" s="144"/>
      <c r="E784" s="119"/>
      <c r="F784" s="120"/>
      <c r="G784" s="119"/>
      <c r="H784" s="120"/>
      <c r="I784" s="119"/>
      <c r="J784" s="120"/>
      <c r="K784" s="119"/>
      <c r="L784" s="120"/>
      <c r="M784" s="119"/>
      <c r="N784" s="120"/>
      <c r="O784" s="119"/>
      <c r="P784" s="120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customFormat="false" ht="14.25" hidden="false" customHeight="true" outlineLevel="0" collapsed="false">
      <c r="A785" s="141"/>
      <c r="B785" s="142"/>
      <c r="C785" s="143"/>
      <c r="D785" s="144"/>
      <c r="E785" s="119"/>
      <c r="F785" s="120"/>
      <c r="G785" s="119"/>
      <c r="H785" s="120"/>
      <c r="I785" s="119"/>
      <c r="J785" s="120"/>
      <c r="K785" s="119"/>
      <c r="L785" s="120"/>
      <c r="M785" s="119"/>
      <c r="N785" s="120"/>
      <c r="O785" s="119"/>
      <c r="P785" s="120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customFormat="false" ht="14.25" hidden="false" customHeight="true" outlineLevel="0" collapsed="false">
      <c r="A786" s="141"/>
      <c r="B786" s="142"/>
      <c r="C786" s="143"/>
      <c r="D786" s="144"/>
      <c r="E786" s="119"/>
      <c r="F786" s="120"/>
      <c r="G786" s="119"/>
      <c r="H786" s="120"/>
      <c r="I786" s="119"/>
      <c r="J786" s="120"/>
      <c r="K786" s="119"/>
      <c r="L786" s="120"/>
      <c r="M786" s="119"/>
      <c r="N786" s="120"/>
      <c r="O786" s="119"/>
      <c r="P786" s="120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customFormat="false" ht="14.25" hidden="false" customHeight="true" outlineLevel="0" collapsed="false">
      <c r="A787" s="141"/>
      <c r="B787" s="142"/>
      <c r="C787" s="143"/>
      <c r="D787" s="144"/>
      <c r="E787" s="119"/>
      <c r="F787" s="120"/>
      <c r="G787" s="119"/>
      <c r="H787" s="120"/>
      <c r="I787" s="119"/>
      <c r="J787" s="120"/>
      <c r="K787" s="119"/>
      <c r="L787" s="120"/>
      <c r="M787" s="119"/>
      <c r="N787" s="120"/>
      <c r="O787" s="119"/>
      <c r="P787" s="120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customFormat="false" ht="14.25" hidden="false" customHeight="true" outlineLevel="0" collapsed="false">
      <c r="A788" s="141"/>
      <c r="B788" s="142"/>
      <c r="C788" s="143"/>
      <c r="D788" s="144"/>
      <c r="E788" s="119"/>
      <c r="F788" s="120"/>
      <c r="G788" s="119"/>
      <c r="H788" s="120"/>
      <c r="I788" s="119"/>
      <c r="J788" s="120"/>
      <c r="K788" s="119"/>
      <c r="L788" s="120"/>
      <c r="M788" s="119"/>
      <c r="N788" s="120"/>
      <c r="O788" s="119"/>
      <c r="P788" s="120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customFormat="false" ht="14.25" hidden="false" customHeight="true" outlineLevel="0" collapsed="false">
      <c r="A789" s="141"/>
      <c r="B789" s="142"/>
      <c r="C789" s="143"/>
      <c r="D789" s="144"/>
      <c r="E789" s="119"/>
      <c r="F789" s="120"/>
      <c r="G789" s="119"/>
      <c r="H789" s="120"/>
      <c r="I789" s="119"/>
      <c r="J789" s="120"/>
      <c r="K789" s="119"/>
      <c r="L789" s="120"/>
      <c r="M789" s="119"/>
      <c r="N789" s="120"/>
      <c r="O789" s="119"/>
      <c r="P789" s="120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customFormat="false" ht="14.25" hidden="false" customHeight="true" outlineLevel="0" collapsed="false">
      <c r="A790" s="141"/>
      <c r="B790" s="142"/>
      <c r="C790" s="143"/>
      <c r="D790" s="144"/>
      <c r="E790" s="119"/>
      <c r="F790" s="120"/>
      <c r="G790" s="119"/>
      <c r="H790" s="120"/>
      <c r="I790" s="119"/>
      <c r="J790" s="120"/>
      <c r="K790" s="119"/>
      <c r="L790" s="120"/>
      <c r="M790" s="119"/>
      <c r="N790" s="120"/>
      <c r="O790" s="119"/>
      <c r="P790" s="120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customFormat="false" ht="14.25" hidden="false" customHeight="true" outlineLevel="0" collapsed="false">
      <c r="A791" s="141"/>
      <c r="B791" s="142"/>
      <c r="C791" s="143"/>
      <c r="D791" s="144"/>
      <c r="E791" s="119"/>
      <c r="F791" s="120"/>
      <c r="G791" s="119"/>
      <c r="H791" s="120"/>
      <c r="I791" s="119"/>
      <c r="J791" s="120"/>
      <c r="K791" s="119"/>
      <c r="L791" s="120"/>
      <c r="M791" s="119"/>
      <c r="N791" s="120"/>
      <c r="O791" s="119"/>
      <c r="P791" s="120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customFormat="false" ht="14.25" hidden="false" customHeight="true" outlineLevel="0" collapsed="false">
      <c r="A792" s="141"/>
      <c r="B792" s="142"/>
      <c r="C792" s="143"/>
      <c r="D792" s="144"/>
      <c r="E792" s="119"/>
      <c r="F792" s="120"/>
      <c r="G792" s="119"/>
      <c r="H792" s="120"/>
      <c r="I792" s="119"/>
      <c r="J792" s="120"/>
      <c r="K792" s="119"/>
      <c r="L792" s="120"/>
      <c r="M792" s="119"/>
      <c r="N792" s="120"/>
      <c r="O792" s="119"/>
      <c r="P792" s="120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customFormat="false" ht="14.25" hidden="false" customHeight="true" outlineLevel="0" collapsed="false">
      <c r="A793" s="141"/>
      <c r="B793" s="142"/>
      <c r="C793" s="143"/>
      <c r="D793" s="144"/>
      <c r="E793" s="119"/>
      <c r="F793" s="120"/>
      <c r="G793" s="119"/>
      <c r="H793" s="120"/>
      <c r="I793" s="119"/>
      <c r="J793" s="120"/>
      <c r="K793" s="119"/>
      <c r="L793" s="120"/>
      <c r="M793" s="119"/>
      <c r="N793" s="120"/>
      <c r="O793" s="119"/>
      <c r="P793" s="120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customFormat="false" ht="14.25" hidden="false" customHeight="true" outlineLevel="0" collapsed="false">
      <c r="A794" s="141"/>
      <c r="B794" s="142"/>
      <c r="C794" s="143"/>
      <c r="D794" s="144"/>
      <c r="E794" s="119"/>
      <c r="F794" s="120"/>
      <c r="G794" s="119"/>
      <c r="H794" s="120"/>
      <c r="I794" s="119"/>
      <c r="J794" s="120"/>
      <c r="K794" s="119"/>
      <c r="L794" s="120"/>
      <c r="M794" s="119"/>
      <c r="N794" s="120"/>
      <c r="O794" s="119"/>
      <c r="P794" s="120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customFormat="false" ht="14.25" hidden="false" customHeight="true" outlineLevel="0" collapsed="false">
      <c r="A795" s="141"/>
      <c r="B795" s="142"/>
      <c r="C795" s="143"/>
      <c r="D795" s="144"/>
      <c r="E795" s="119"/>
      <c r="F795" s="120"/>
      <c r="G795" s="119"/>
      <c r="H795" s="120"/>
      <c r="I795" s="119"/>
      <c r="J795" s="120"/>
      <c r="K795" s="119"/>
      <c r="L795" s="120"/>
      <c r="M795" s="119"/>
      <c r="N795" s="120"/>
      <c r="O795" s="119"/>
      <c r="P795" s="120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customFormat="false" ht="14.25" hidden="false" customHeight="true" outlineLevel="0" collapsed="false">
      <c r="A796" s="141"/>
      <c r="B796" s="142"/>
      <c r="C796" s="143"/>
      <c r="D796" s="144"/>
      <c r="E796" s="119"/>
      <c r="F796" s="120"/>
      <c r="G796" s="119"/>
      <c r="H796" s="120"/>
      <c r="I796" s="119"/>
      <c r="J796" s="120"/>
      <c r="K796" s="119"/>
      <c r="L796" s="120"/>
      <c r="M796" s="119"/>
      <c r="N796" s="120"/>
      <c r="O796" s="119"/>
      <c r="P796" s="120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customFormat="false" ht="14.25" hidden="false" customHeight="true" outlineLevel="0" collapsed="false">
      <c r="A797" s="141"/>
      <c r="B797" s="142"/>
      <c r="C797" s="143"/>
      <c r="D797" s="144"/>
      <c r="E797" s="119"/>
      <c r="F797" s="120"/>
      <c r="G797" s="119"/>
      <c r="H797" s="120"/>
      <c r="I797" s="119"/>
      <c r="J797" s="120"/>
      <c r="K797" s="119"/>
      <c r="L797" s="120"/>
      <c r="M797" s="119"/>
      <c r="N797" s="120"/>
      <c r="O797" s="119"/>
      <c r="P797" s="120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customFormat="false" ht="14.25" hidden="false" customHeight="true" outlineLevel="0" collapsed="false">
      <c r="A798" s="141"/>
      <c r="B798" s="142"/>
      <c r="C798" s="143"/>
      <c r="D798" s="144"/>
      <c r="E798" s="119"/>
      <c r="F798" s="120"/>
      <c r="G798" s="119"/>
      <c r="H798" s="120"/>
      <c r="I798" s="119"/>
      <c r="J798" s="120"/>
      <c r="K798" s="119"/>
      <c r="L798" s="120"/>
      <c r="M798" s="119"/>
      <c r="N798" s="120"/>
      <c r="O798" s="119"/>
      <c r="P798" s="120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customFormat="false" ht="14.25" hidden="false" customHeight="true" outlineLevel="0" collapsed="false">
      <c r="A799" s="141"/>
      <c r="B799" s="142"/>
      <c r="C799" s="143"/>
      <c r="D799" s="144"/>
      <c r="E799" s="119"/>
      <c r="F799" s="120"/>
      <c r="G799" s="119"/>
      <c r="H799" s="120"/>
      <c r="I799" s="119"/>
      <c r="J799" s="120"/>
      <c r="K799" s="119"/>
      <c r="L799" s="120"/>
      <c r="M799" s="119"/>
      <c r="N799" s="120"/>
      <c r="O799" s="119"/>
      <c r="P799" s="120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customFormat="false" ht="14.25" hidden="false" customHeight="true" outlineLevel="0" collapsed="false">
      <c r="A800" s="141"/>
      <c r="B800" s="142"/>
      <c r="C800" s="143"/>
      <c r="D800" s="144"/>
      <c r="E800" s="119"/>
      <c r="F800" s="120"/>
      <c r="G800" s="119"/>
      <c r="H800" s="120"/>
      <c r="I800" s="119"/>
      <c r="J800" s="120"/>
      <c r="K800" s="119"/>
      <c r="L800" s="120"/>
      <c r="M800" s="119"/>
      <c r="N800" s="120"/>
      <c r="O800" s="119"/>
      <c r="P800" s="120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customFormat="false" ht="14.25" hidden="false" customHeight="true" outlineLevel="0" collapsed="false">
      <c r="A801" s="141"/>
      <c r="B801" s="142"/>
      <c r="C801" s="143"/>
      <c r="D801" s="144"/>
      <c r="E801" s="119"/>
      <c r="F801" s="120"/>
      <c r="G801" s="119"/>
      <c r="H801" s="120"/>
      <c r="I801" s="119"/>
      <c r="J801" s="120"/>
      <c r="K801" s="119"/>
      <c r="L801" s="120"/>
      <c r="M801" s="119"/>
      <c r="N801" s="120"/>
      <c r="O801" s="119"/>
      <c r="P801" s="120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customFormat="false" ht="14.25" hidden="false" customHeight="true" outlineLevel="0" collapsed="false">
      <c r="A802" s="141"/>
      <c r="B802" s="142"/>
      <c r="C802" s="143"/>
      <c r="D802" s="144"/>
      <c r="E802" s="119"/>
      <c r="F802" s="120"/>
      <c r="G802" s="119"/>
      <c r="H802" s="120"/>
      <c r="I802" s="119"/>
      <c r="J802" s="120"/>
      <c r="K802" s="119"/>
      <c r="L802" s="120"/>
      <c r="M802" s="119"/>
      <c r="N802" s="120"/>
      <c r="O802" s="119"/>
      <c r="P802" s="120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customFormat="false" ht="14.25" hidden="false" customHeight="true" outlineLevel="0" collapsed="false">
      <c r="A803" s="141"/>
      <c r="B803" s="142"/>
      <c r="C803" s="143"/>
      <c r="D803" s="144"/>
      <c r="E803" s="119"/>
      <c r="F803" s="120"/>
      <c r="G803" s="119"/>
      <c r="H803" s="120"/>
      <c r="I803" s="119"/>
      <c r="J803" s="120"/>
      <c r="K803" s="119"/>
      <c r="L803" s="120"/>
      <c r="M803" s="119"/>
      <c r="N803" s="120"/>
      <c r="O803" s="119"/>
      <c r="P803" s="120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customFormat="false" ht="14.25" hidden="false" customHeight="true" outlineLevel="0" collapsed="false">
      <c r="A804" s="141"/>
      <c r="B804" s="142"/>
      <c r="C804" s="143"/>
      <c r="D804" s="144"/>
      <c r="E804" s="119"/>
      <c r="F804" s="120"/>
      <c r="G804" s="119"/>
      <c r="H804" s="120"/>
      <c r="I804" s="119"/>
      <c r="J804" s="120"/>
      <c r="K804" s="119"/>
      <c r="L804" s="120"/>
      <c r="M804" s="119"/>
      <c r="N804" s="120"/>
      <c r="O804" s="119"/>
      <c r="P804" s="120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customFormat="false" ht="14.25" hidden="false" customHeight="true" outlineLevel="0" collapsed="false">
      <c r="A805" s="141"/>
      <c r="B805" s="142"/>
      <c r="C805" s="143"/>
      <c r="D805" s="144"/>
      <c r="E805" s="119"/>
      <c r="F805" s="120"/>
      <c r="G805" s="119"/>
      <c r="H805" s="120"/>
      <c r="I805" s="119"/>
      <c r="J805" s="120"/>
      <c r="K805" s="119"/>
      <c r="L805" s="120"/>
      <c r="M805" s="119"/>
      <c r="N805" s="120"/>
      <c r="O805" s="119"/>
      <c r="P805" s="120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customFormat="false" ht="14.25" hidden="false" customHeight="true" outlineLevel="0" collapsed="false">
      <c r="A806" s="141"/>
      <c r="B806" s="142"/>
      <c r="C806" s="143"/>
      <c r="D806" s="144"/>
      <c r="E806" s="119"/>
      <c r="F806" s="120"/>
      <c r="G806" s="119"/>
      <c r="H806" s="120"/>
      <c r="I806" s="119"/>
      <c r="J806" s="120"/>
      <c r="K806" s="119"/>
      <c r="L806" s="120"/>
      <c r="M806" s="119"/>
      <c r="N806" s="120"/>
      <c r="O806" s="119"/>
      <c r="P806" s="120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customFormat="false" ht="14.25" hidden="false" customHeight="true" outlineLevel="0" collapsed="false">
      <c r="A807" s="141"/>
      <c r="B807" s="142"/>
      <c r="C807" s="143"/>
      <c r="D807" s="144"/>
      <c r="E807" s="119"/>
      <c r="F807" s="120"/>
      <c r="G807" s="119"/>
      <c r="H807" s="120"/>
      <c r="I807" s="119"/>
      <c r="J807" s="120"/>
      <c r="K807" s="119"/>
      <c r="L807" s="120"/>
      <c r="M807" s="119"/>
      <c r="N807" s="120"/>
      <c r="O807" s="119"/>
      <c r="P807" s="120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customFormat="false" ht="14.25" hidden="false" customHeight="true" outlineLevel="0" collapsed="false">
      <c r="A808" s="141"/>
      <c r="B808" s="142"/>
      <c r="C808" s="143"/>
      <c r="D808" s="144"/>
      <c r="E808" s="119"/>
      <c r="F808" s="120"/>
      <c r="G808" s="119"/>
      <c r="H808" s="120"/>
      <c r="I808" s="119"/>
      <c r="J808" s="120"/>
      <c r="K808" s="119"/>
      <c r="L808" s="120"/>
      <c r="M808" s="119"/>
      <c r="N808" s="120"/>
      <c r="O808" s="119"/>
      <c r="P808" s="120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customFormat="false" ht="14.25" hidden="false" customHeight="true" outlineLevel="0" collapsed="false">
      <c r="A809" s="141"/>
      <c r="B809" s="142"/>
      <c r="C809" s="143"/>
      <c r="D809" s="144"/>
      <c r="E809" s="119"/>
      <c r="F809" s="120"/>
      <c r="G809" s="119"/>
      <c r="H809" s="120"/>
      <c r="I809" s="119"/>
      <c r="J809" s="120"/>
      <c r="K809" s="119"/>
      <c r="L809" s="120"/>
      <c r="M809" s="119"/>
      <c r="N809" s="120"/>
      <c r="O809" s="119"/>
      <c r="P809" s="120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customFormat="false" ht="14.25" hidden="false" customHeight="true" outlineLevel="0" collapsed="false">
      <c r="A810" s="141"/>
      <c r="B810" s="142"/>
      <c r="C810" s="143"/>
      <c r="D810" s="144"/>
      <c r="E810" s="119"/>
      <c r="F810" s="120"/>
      <c r="G810" s="119"/>
      <c r="H810" s="120"/>
      <c r="I810" s="119"/>
      <c r="J810" s="120"/>
      <c r="K810" s="119"/>
      <c r="L810" s="120"/>
      <c r="M810" s="119"/>
      <c r="N810" s="120"/>
      <c r="O810" s="119"/>
      <c r="P810" s="120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customFormat="false" ht="14.25" hidden="false" customHeight="true" outlineLevel="0" collapsed="false">
      <c r="A811" s="141"/>
      <c r="B811" s="142"/>
      <c r="C811" s="143"/>
      <c r="D811" s="144"/>
      <c r="E811" s="119"/>
      <c r="F811" s="120"/>
      <c r="G811" s="119"/>
      <c r="H811" s="120"/>
      <c r="I811" s="119"/>
      <c r="J811" s="120"/>
      <c r="K811" s="119"/>
      <c r="L811" s="120"/>
      <c r="M811" s="119"/>
      <c r="N811" s="120"/>
      <c r="O811" s="119"/>
      <c r="P811" s="120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customFormat="false" ht="14.25" hidden="false" customHeight="true" outlineLevel="0" collapsed="false">
      <c r="A812" s="141"/>
      <c r="B812" s="142"/>
      <c r="C812" s="143"/>
      <c r="D812" s="144"/>
      <c r="E812" s="119"/>
      <c r="F812" s="120"/>
      <c r="G812" s="119"/>
      <c r="H812" s="120"/>
      <c r="I812" s="119"/>
      <c r="J812" s="120"/>
      <c r="K812" s="119"/>
      <c r="L812" s="120"/>
      <c r="M812" s="119"/>
      <c r="N812" s="120"/>
      <c r="O812" s="119"/>
      <c r="P812" s="120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customFormat="false" ht="14.25" hidden="false" customHeight="true" outlineLevel="0" collapsed="false">
      <c r="A813" s="141"/>
      <c r="B813" s="142"/>
      <c r="C813" s="143"/>
      <c r="D813" s="144"/>
      <c r="E813" s="119"/>
      <c r="F813" s="120"/>
      <c r="G813" s="119"/>
      <c r="H813" s="120"/>
      <c r="I813" s="119"/>
      <c r="J813" s="120"/>
      <c r="K813" s="119"/>
      <c r="L813" s="120"/>
      <c r="M813" s="119"/>
      <c r="N813" s="120"/>
      <c r="O813" s="119"/>
      <c r="P813" s="120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customFormat="false" ht="14.25" hidden="false" customHeight="true" outlineLevel="0" collapsed="false">
      <c r="A814" s="141"/>
      <c r="B814" s="142"/>
      <c r="C814" s="143"/>
      <c r="D814" s="144"/>
      <c r="E814" s="119"/>
      <c r="F814" s="120"/>
      <c r="G814" s="119"/>
      <c r="H814" s="120"/>
      <c r="I814" s="119"/>
      <c r="J814" s="120"/>
      <c r="K814" s="119"/>
      <c r="L814" s="120"/>
      <c r="M814" s="119"/>
      <c r="N814" s="120"/>
      <c r="O814" s="119"/>
      <c r="P814" s="120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customFormat="false" ht="14.25" hidden="false" customHeight="true" outlineLevel="0" collapsed="false">
      <c r="A815" s="141"/>
      <c r="B815" s="142"/>
      <c r="C815" s="143"/>
      <c r="D815" s="144"/>
      <c r="E815" s="119"/>
      <c r="F815" s="120"/>
      <c r="G815" s="119"/>
      <c r="H815" s="120"/>
      <c r="I815" s="119"/>
      <c r="J815" s="120"/>
      <c r="K815" s="119"/>
      <c r="L815" s="120"/>
      <c r="M815" s="119"/>
      <c r="N815" s="120"/>
      <c r="O815" s="119"/>
      <c r="P815" s="120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customFormat="false" ht="14.25" hidden="false" customHeight="true" outlineLevel="0" collapsed="false">
      <c r="A816" s="141"/>
      <c r="B816" s="142"/>
      <c r="C816" s="143"/>
      <c r="D816" s="144"/>
      <c r="E816" s="119"/>
      <c r="F816" s="120"/>
      <c r="G816" s="119"/>
      <c r="H816" s="120"/>
      <c r="I816" s="119"/>
      <c r="J816" s="120"/>
      <c r="K816" s="119"/>
      <c r="L816" s="120"/>
      <c r="M816" s="119"/>
      <c r="N816" s="120"/>
      <c r="O816" s="119"/>
      <c r="P816" s="120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customFormat="false" ht="14.25" hidden="false" customHeight="true" outlineLevel="0" collapsed="false">
      <c r="A817" s="141"/>
      <c r="B817" s="142"/>
      <c r="C817" s="143"/>
      <c r="D817" s="144"/>
      <c r="E817" s="119"/>
      <c r="F817" s="120"/>
      <c r="G817" s="119"/>
      <c r="H817" s="120"/>
      <c r="I817" s="119"/>
      <c r="J817" s="120"/>
      <c r="K817" s="119"/>
      <c r="L817" s="120"/>
      <c r="M817" s="119"/>
      <c r="N817" s="120"/>
      <c r="O817" s="119"/>
      <c r="P817" s="120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customFormat="false" ht="14.25" hidden="false" customHeight="true" outlineLevel="0" collapsed="false">
      <c r="A818" s="141"/>
      <c r="B818" s="142"/>
      <c r="C818" s="143"/>
      <c r="D818" s="144"/>
      <c r="E818" s="119"/>
      <c r="F818" s="120"/>
      <c r="G818" s="119"/>
      <c r="H818" s="120"/>
      <c r="I818" s="119"/>
      <c r="J818" s="120"/>
      <c r="K818" s="119"/>
      <c r="L818" s="120"/>
      <c r="M818" s="119"/>
      <c r="N818" s="120"/>
      <c r="O818" s="119"/>
      <c r="P818" s="120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customFormat="false" ht="14.25" hidden="false" customHeight="true" outlineLevel="0" collapsed="false">
      <c r="A819" s="141"/>
      <c r="B819" s="142"/>
      <c r="C819" s="143"/>
      <c r="D819" s="144"/>
      <c r="E819" s="119"/>
      <c r="F819" s="120"/>
      <c r="G819" s="119"/>
      <c r="H819" s="120"/>
      <c r="I819" s="119"/>
      <c r="J819" s="120"/>
      <c r="K819" s="119"/>
      <c r="L819" s="120"/>
      <c r="M819" s="119"/>
      <c r="N819" s="120"/>
      <c r="O819" s="119"/>
      <c r="P819" s="120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customFormat="false" ht="14.25" hidden="false" customHeight="true" outlineLevel="0" collapsed="false">
      <c r="A820" s="141"/>
      <c r="B820" s="142"/>
      <c r="C820" s="143"/>
      <c r="D820" s="144"/>
      <c r="E820" s="119"/>
      <c r="F820" s="120"/>
      <c r="G820" s="119"/>
      <c r="H820" s="120"/>
      <c r="I820" s="119"/>
      <c r="J820" s="120"/>
      <c r="K820" s="119"/>
      <c r="L820" s="120"/>
      <c r="M820" s="119"/>
      <c r="N820" s="120"/>
      <c r="O820" s="119"/>
      <c r="P820" s="120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customFormat="false" ht="14.25" hidden="false" customHeight="true" outlineLevel="0" collapsed="false">
      <c r="A821" s="141"/>
      <c r="B821" s="142"/>
      <c r="C821" s="143"/>
      <c r="D821" s="144"/>
      <c r="E821" s="119"/>
      <c r="F821" s="120"/>
      <c r="G821" s="119"/>
      <c r="H821" s="120"/>
      <c r="I821" s="119"/>
      <c r="J821" s="120"/>
      <c r="K821" s="119"/>
      <c r="L821" s="120"/>
      <c r="M821" s="119"/>
      <c r="N821" s="120"/>
      <c r="O821" s="119"/>
      <c r="P821" s="120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customFormat="false" ht="14.25" hidden="false" customHeight="true" outlineLevel="0" collapsed="false">
      <c r="A822" s="141"/>
      <c r="B822" s="142"/>
      <c r="C822" s="143"/>
      <c r="D822" s="144"/>
      <c r="E822" s="119"/>
      <c r="F822" s="120"/>
      <c r="G822" s="119"/>
      <c r="H822" s="120"/>
      <c r="I822" s="119"/>
      <c r="J822" s="120"/>
      <c r="K822" s="119"/>
      <c r="L822" s="120"/>
      <c r="M822" s="119"/>
      <c r="N822" s="120"/>
      <c r="O822" s="119"/>
      <c r="P822" s="120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customFormat="false" ht="14.25" hidden="false" customHeight="true" outlineLevel="0" collapsed="false">
      <c r="A823" s="141"/>
      <c r="B823" s="142"/>
      <c r="C823" s="143"/>
      <c r="D823" s="144"/>
      <c r="E823" s="119"/>
      <c r="F823" s="120"/>
      <c r="G823" s="119"/>
      <c r="H823" s="120"/>
      <c r="I823" s="119"/>
      <c r="J823" s="120"/>
      <c r="K823" s="119"/>
      <c r="L823" s="120"/>
      <c r="M823" s="119"/>
      <c r="N823" s="120"/>
      <c r="O823" s="119"/>
      <c r="P823" s="120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customFormat="false" ht="14.25" hidden="false" customHeight="true" outlineLevel="0" collapsed="false">
      <c r="A824" s="141"/>
      <c r="B824" s="142"/>
      <c r="C824" s="143"/>
      <c r="D824" s="144"/>
      <c r="E824" s="119"/>
      <c r="F824" s="120"/>
      <c r="G824" s="119"/>
      <c r="H824" s="120"/>
      <c r="I824" s="119"/>
      <c r="J824" s="120"/>
      <c r="K824" s="119"/>
      <c r="L824" s="120"/>
      <c r="M824" s="119"/>
      <c r="N824" s="120"/>
      <c r="O824" s="119"/>
      <c r="P824" s="120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customFormat="false" ht="14.25" hidden="false" customHeight="true" outlineLevel="0" collapsed="false">
      <c r="A825" s="141"/>
      <c r="B825" s="142"/>
      <c r="C825" s="143"/>
      <c r="D825" s="144"/>
      <c r="E825" s="119"/>
      <c r="F825" s="120"/>
      <c r="G825" s="119"/>
      <c r="H825" s="120"/>
      <c r="I825" s="119"/>
      <c r="J825" s="120"/>
      <c r="K825" s="119"/>
      <c r="L825" s="120"/>
      <c r="M825" s="119"/>
      <c r="N825" s="120"/>
      <c r="O825" s="119"/>
      <c r="P825" s="120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customFormat="false" ht="14.25" hidden="false" customHeight="true" outlineLevel="0" collapsed="false">
      <c r="A826" s="141"/>
      <c r="B826" s="142"/>
      <c r="C826" s="143"/>
      <c r="D826" s="144"/>
      <c r="E826" s="119"/>
      <c r="F826" s="120"/>
      <c r="G826" s="119"/>
      <c r="H826" s="120"/>
      <c r="I826" s="119"/>
      <c r="J826" s="120"/>
      <c r="K826" s="119"/>
      <c r="L826" s="120"/>
      <c r="M826" s="119"/>
      <c r="N826" s="120"/>
      <c r="O826" s="119"/>
      <c r="P826" s="120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customFormat="false" ht="14.25" hidden="false" customHeight="true" outlineLevel="0" collapsed="false">
      <c r="A827" s="141"/>
      <c r="B827" s="142"/>
      <c r="C827" s="143"/>
      <c r="D827" s="144"/>
      <c r="E827" s="119"/>
      <c r="F827" s="120"/>
      <c r="G827" s="119"/>
      <c r="H827" s="120"/>
      <c r="I827" s="119"/>
      <c r="J827" s="120"/>
      <c r="K827" s="119"/>
      <c r="L827" s="120"/>
      <c r="M827" s="119"/>
      <c r="N827" s="120"/>
      <c r="O827" s="119"/>
      <c r="P827" s="120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customFormat="false" ht="14.25" hidden="false" customHeight="true" outlineLevel="0" collapsed="false">
      <c r="A828" s="141"/>
      <c r="B828" s="142"/>
      <c r="C828" s="143"/>
      <c r="D828" s="144"/>
      <c r="E828" s="119"/>
      <c r="F828" s="120"/>
      <c r="G828" s="119"/>
      <c r="H828" s="120"/>
      <c r="I828" s="119"/>
      <c r="J828" s="120"/>
      <c r="K828" s="119"/>
      <c r="L828" s="120"/>
      <c r="M828" s="119"/>
      <c r="N828" s="120"/>
      <c r="O828" s="119"/>
      <c r="P828" s="120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customFormat="false" ht="14.25" hidden="false" customHeight="true" outlineLevel="0" collapsed="false">
      <c r="A829" s="141"/>
      <c r="B829" s="142"/>
      <c r="C829" s="143"/>
      <c r="D829" s="144"/>
      <c r="E829" s="119"/>
      <c r="F829" s="120"/>
      <c r="G829" s="119"/>
      <c r="H829" s="120"/>
      <c r="I829" s="119"/>
      <c r="J829" s="120"/>
      <c r="K829" s="119"/>
      <c r="L829" s="120"/>
      <c r="M829" s="119"/>
      <c r="N829" s="120"/>
      <c r="O829" s="119"/>
      <c r="P829" s="120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customFormat="false" ht="14.25" hidden="false" customHeight="true" outlineLevel="0" collapsed="false">
      <c r="A830" s="141"/>
      <c r="B830" s="142"/>
      <c r="C830" s="143"/>
      <c r="D830" s="144"/>
      <c r="E830" s="119"/>
      <c r="F830" s="120"/>
      <c r="G830" s="119"/>
      <c r="H830" s="120"/>
      <c r="I830" s="119"/>
      <c r="J830" s="120"/>
      <c r="K830" s="119"/>
      <c r="L830" s="120"/>
      <c r="M830" s="119"/>
      <c r="N830" s="120"/>
      <c r="O830" s="119"/>
      <c r="P830" s="120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customFormat="false" ht="14.25" hidden="false" customHeight="true" outlineLevel="0" collapsed="false">
      <c r="A831" s="141"/>
      <c r="B831" s="142"/>
      <c r="C831" s="143"/>
      <c r="D831" s="144"/>
      <c r="E831" s="119"/>
      <c r="F831" s="120"/>
      <c r="G831" s="119"/>
      <c r="H831" s="120"/>
      <c r="I831" s="119"/>
      <c r="J831" s="120"/>
      <c r="K831" s="119"/>
      <c r="L831" s="120"/>
      <c r="M831" s="119"/>
      <c r="N831" s="120"/>
      <c r="O831" s="119"/>
      <c r="P831" s="120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customFormat="false" ht="14.25" hidden="false" customHeight="true" outlineLevel="0" collapsed="false">
      <c r="A832" s="141"/>
      <c r="B832" s="142"/>
      <c r="C832" s="143"/>
      <c r="D832" s="144"/>
      <c r="E832" s="119"/>
      <c r="F832" s="120"/>
      <c r="G832" s="119"/>
      <c r="H832" s="120"/>
      <c r="I832" s="119"/>
      <c r="J832" s="120"/>
      <c r="K832" s="119"/>
      <c r="L832" s="120"/>
      <c r="M832" s="119"/>
      <c r="N832" s="120"/>
      <c r="O832" s="119"/>
      <c r="P832" s="120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customFormat="false" ht="14.25" hidden="false" customHeight="true" outlineLevel="0" collapsed="false">
      <c r="A833" s="141"/>
      <c r="B833" s="142"/>
      <c r="C833" s="143"/>
      <c r="D833" s="144"/>
      <c r="E833" s="119"/>
      <c r="F833" s="120"/>
      <c r="G833" s="119"/>
      <c r="H833" s="120"/>
      <c r="I833" s="119"/>
      <c r="J833" s="120"/>
      <c r="K833" s="119"/>
      <c r="L833" s="120"/>
      <c r="M833" s="119"/>
      <c r="N833" s="120"/>
      <c r="O833" s="119"/>
      <c r="P833" s="120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customFormat="false" ht="14.25" hidden="false" customHeight="true" outlineLevel="0" collapsed="false">
      <c r="A834" s="141"/>
      <c r="B834" s="142"/>
      <c r="C834" s="143"/>
      <c r="D834" s="144"/>
      <c r="E834" s="119"/>
      <c r="F834" s="120"/>
      <c r="G834" s="119"/>
      <c r="H834" s="120"/>
      <c r="I834" s="119"/>
      <c r="J834" s="120"/>
      <c r="K834" s="119"/>
      <c r="L834" s="120"/>
      <c r="M834" s="119"/>
      <c r="N834" s="120"/>
      <c r="O834" s="119"/>
      <c r="P834" s="120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customFormat="false" ht="14.25" hidden="false" customHeight="true" outlineLevel="0" collapsed="false">
      <c r="A835" s="141"/>
      <c r="B835" s="142"/>
      <c r="C835" s="143"/>
      <c r="D835" s="144"/>
      <c r="E835" s="119"/>
      <c r="F835" s="120"/>
      <c r="G835" s="119"/>
      <c r="H835" s="120"/>
      <c r="I835" s="119"/>
      <c r="J835" s="120"/>
      <c r="K835" s="119"/>
      <c r="L835" s="120"/>
      <c r="M835" s="119"/>
      <c r="N835" s="120"/>
      <c r="O835" s="119"/>
      <c r="P835" s="120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customFormat="false" ht="14.25" hidden="false" customHeight="true" outlineLevel="0" collapsed="false">
      <c r="A836" s="141"/>
      <c r="B836" s="142"/>
      <c r="C836" s="143"/>
      <c r="D836" s="144"/>
      <c r="E836" s="119"/>
      <c r="F836" s="120"/>
      <c r="G836" s="119"/>
      <c r="H836" s="120"/>
      <c r="I836" s="119"/>
      <c r="J836" s="120"/>
      <c r="K836" s="119"/>
      <c r="L836" s="120"/>
      <c r="M836" s="119"/>
      <c r="N836" s="120"/>
      <c r="O836" s="119"/>
      <c r="P836" s="120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customFormat="false" ht="14.25" hidden="false" customHeight="true" outlineLevel="0" collapsed="false">
      <c r="A837" s="141"/>
      <c r="B837" s="142"/>
      <c r="C837" s="143"/>
      <c r="D837" s="144"/>
      <c r="E837" s="119"/>
      <c r="F837" s="120"/>
      <c r="G837" s="119"/>
      <c r="H837" s="120"/>
      <c r="I837" s="119"/>
      <c r="J837" s="120"/>
      <c r="K837" s="119"/>
      <c r="L837" s="120"/>
      <c r="M837" s="119"/>
      <c r="N837" s="120"/>
      <c r="O837" s="119"/>
      <c r="P837" s="120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customFormat="false" ht="14.25" hidden="false" customHeight="true" outlineLevel="0" collapsed="false">
      <c r="A838" s="141"/>
      <c r="B838" s="142"/>
      <c r="C838" s="143"/>
      <c r="D838" s="144"/>
      <c r="E838" s="119"/>
      <c r="F838" s="120"/>
      <c r="G838" s="119"/>
      <c r="H838" s="120"/>
      <c r="I838" s="119"/>
      <c r="J838" s="120"/>
      <c r="K838" s="119"/>
      <c r="L838" s="120"/>
      <c r="M838" s="119"/>
      <c r="N838" s="120"/>
      <c r="O838" s="119"/>
      <c r="P838" s="120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customFormat="false" ht="14.25" hidden="false" customHeight="true" outlineLevel="0" collapsed="false">
      <c r="A839" s="141"/>
      <c r="B839" s="142"/>
      <c r="C839" s="143"/>
      <c r="D839" s="144"/>
      <c r="E839" s="119"/>
      <c r="F839" s="120"/>
      <c r="G839" s="119"/>
      <c r="H839" s="120"/>
      <c r="I839" s="119"/>
      <c r="J839" s="120"/>
      <c r="K839" s="119"/>
      <c r="L839" s="120"/>
      <c r="M839" s="119"/>
      <c r="N839" s="120"/>
      <c r="O839" s="119"/>
      <c r="P839" s="120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customFormat="false" ht="14.25" hidden="false" customHeight="true" outlineLevel="0" collapsed="false">
      <c r="A840" s="141"/>
      <c r="B840" s="142"/>
      <c r="C840" s="143"/>
      <c r="D840" s="144"/>
      <c r="E840" s="119"/>
      <c r="F840" s="120"/>
      <c r="G840" s="119"/>
      <c r="H840" s="120"/>
      <c r="I840" s="119"/>
      <c r="J840" s="120"/>
      <c r="K840" s="119"/>
      <c r="L840" s="120"/>
      <c r="M840" s="119"/>
      <c r="N840" s="120"/>
      <c r="O840" s="119"/>
      <c r="P840" s="120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customFormat="false" ht="14.25" hidden="false" customHeight="true" outlineLevel="0" collapsed="false">
      <c r="A841" s="141"/>
      <c r="B841" s="142"/>
      <c r="C841" s="143"/>
      <c r="D841" s="144"/>
      <c r="E841" s="119"/>
      <c r="F841" s="120"/>
      <c r="G841" s="119"/>
      <c r="H841" s="120"/>
      <c r="I841" s="119"/>
      <c r="J841" s="120"/>
      <c r="K841" s="119"/>
      <c r="L841" s="120"/>
      <c r="M841" s="119"/>
      <c r="N841" s="120"/>
      <c r="O841" s="119"/>
      <c r="P841" s="120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customFormat="false" ht="14.25" hidden="false" customHeight="true" outlineLevel="0" collapsed="false">
      <c r="A842" s="141"/>
      <c r="B842" s="142"/>
      <c r="C842" s="143"/>
      <c r="D842" s="144"/>
      <c r="E842" s="119"/>
      <c r="F842" s="120"/>
      <c r="G842" s="119"/>
      <c r="H842" s="120"/>
      <c r="I842" s="119"/>
      <c r="J842" s="120"/>
      <c r="K842" s="119"/>
      <c r="L842" s="120"/>
      <c r="M842" s="119"/>
      <c r="N842" s="120"/>
      <c r="O842" s="119"/>
      <c r="P842" s="120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customFormat="false" ht="14.25" hidden="false" customHeight="true" outlineLevel="0" collapsed="false">
      <c r="A843" s="141"/>
      <c r="B843" s="142"/>
      <c r="C843" s="143"/>
      <c r="D843" s="144"/>
      <c r="E843" s="119"/>
      <c r="F843" s="120"/>
      <c r="G843" s="119"/>
      <c r="H843" s="120"/>
      <c r="I843" s="119"/>
      <c r="J843" s="120"/>
      <c r="K843" s="119"/>
      <c r="L843" s="120"/>
      <c r="M843" s="119"/>
      <c r="N843" s="120"/>
      <c r="O843" s="119"/>
      <c r="P843" s="120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customFormat="false" ht="14.25" hidden="false" customHeight="true" outlineLevel="0" collapsed="false">
      <c r="A844" s="141"/>
      <c r="B844" s="142"/>
      <c r="C844" s="143"/>
      <c r="D844" s="144"/>
      <c r="E844" s="119"/>
      <c r="F844" s="120"/>
      <c r="G844" s="119"/>
      <c r="H844" s="120"/>
      <c r="I844" s="119"/>
      <c r="J844" s="120"/>
      <c r="K844" s="119"/>
      <c r="L844" s="120"/>
      <c r="M844" s="119"/>
      <c r="N844" s="120"/>
      <c r="O844" s="119"/>
      <c r="P844" s="120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customFormat="false" ht="14.25" hidden="false" customHeight="true" outlineLevel="0" collapsed="false">
      <c r="A845" s="141"/>
      <c r="B845" s="142"/>
      <c r="C845" s="143"/>
      <c r="D845" s="144"/>
      <c r="E845" s="119"/>
      <c r="F845" s="120"/>
      <c r="G845" s="119"/>
      <c r="H845" s="120"/>
      <c r="I845" s="119"/>
      <c r="J845" s="120"/>
      <c r="K845" s="119"/>
      <c r="L845" s="120"/>
      <c r="M845" s="119"/>
      <c r="N845" s="120"/>
      <c r="O845" s="119"/>
      <c r="P845" s="120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customFormat="false" ht="14.25" hidden="false" customHeight="true" outlineLevel="0" collapsed="false">
      <c r="A846" s="141"/>
      <c r="B846" s="142"/>
      <c r="C846" s="143"/>
      <c r="D846" s="144"/>
      <c r="E846" s="119"/>
      <c r="F846" s="120"/>
      <c r="G846" s="119"/>
      <c r="H846" s="120"/>
      <c r="I846" s="119"/>
      <c r="J846" s="120"/>
      <c r="K846" s="119"/>
      <c r="L846" s="120"/>
      <c r="M846" s="119"/>
      <c r="N846" s="120"/>
      <c r="O846" s="119"/>
      <c r="P846" s="120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customFormat="false" ht="14.25" hidden="false" customHeight="true" outlineLevel="0" collapsed="false">
      <c r="A847" s="141"/>
      <c r="B847" s="142"/>
      <c r="C847" s="143"/>
      <c r="D847" s="144"/>
      <c r="E847" s="119"/>
      <c r="F847" s="120"/>
      <c r="G847" s="119"/>
      <c r="H847" s="120"/>
      <c r="I847" s="119"/>
      <c r="J847" s="120"/>
      <c r="K847" s="119"/>
      <c r="L847" s="120"/>
      <c r="M847" s="119"/>
      <c r="N847" s="120"/>
      <c r="O847" s="119"/>
      <c r="P847" s="120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customFormat="false" ht="14.25" hidden="false" customHeight="true" outlineLevel="0" collapsed="false">
      <c r="A848" s="141"/>
      <c r="B848" s="142"/>
      <c r="C848" s="143"/>
      <c r="D848" s="144"/>
      <c r="E848" s="119"/>
      <c r="F848" s="120"/>
      <c r="G848" s="119"/>
      <c r="H848" s="120"/>
      <c r="I848" s="119"/>
      <c r="J848" s="120"/>
      <c r="K848" s="119"/>
      <c r="L848" s="120"/>
      <c r="M848" s="119"/>
      <c r="N848" s="120"/>
      <c r="O848" s="119"/>
      <c r="P848" s="120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customFormat="false" ht="14.25" hidden="false" customHeight="true" outlineLevel="0" collapsed="false">
      <c r="A849" s="141"/>
      <c r="B849" s="142"/>
      <c r="C849" s="143"/>
      <c r="D849" s="144"/>
      <c r="E849" s="119"/>
      <c r="F849" s="120"/>
      <c r="G849" s="119"/>
      <c r="H849" s="120"/>
      <c r="I849" s="119"/>
      <c r="J849" s="120"/>
      <c r="K849" s="119"/>
      <c r="L849" s="120"/>
      <c r="M849" s="119"/>
      <c r="N849" s="120"/>
      <c r="O849" s="119"/>
      <c r="P849" s="120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customFormat="false" ht="14.25" hidden="false" customHeight="true" outlineLevel="0" collapsed="false">
      <c r="A850" s="141"/>
      <c r="B850" s="142"/>
      <c r="C850" s="143"/>
      <c r="D850" s="144"/>
      <c r="E850" s="119"/>
      <c r="F850" s="120"/>
      <c r="G850" s="119"/>
      <c r="H850" s="120"/>
      <c r="I850" s="119"/>
      <c r="J850" s="120"/>
      <c r="K850" s="119"/>
      <c r="L850" s="120"/>
      <c r="M850" s="119"/>
      <c r="N850" s="120"/>
      <c r="O850" s="119"/>
      <c r="P850" s="120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customFormat="false" ht="14.25" hidden="false" customHeight="true" outlineLevel="0" collapsed="false">
      <c r="A851" s="141"/>
      <c r="B851" s="142"/>
      <c r="C851" s="143"/>
      <c r="D851" s="144"/>
      <c r="E851" s="119"/>
      <c r="F851" s="120"/>
      <c r="G851" s="119"/>
      <c r="H851" s="120"/>
      <c r="I851" s="119"/>
      <c r="J851" s="120"/>
      <c r="K851" s="119"/>
      <c r="L851" s="120"/>
      <c r="M851" s="119"/>
      <c r="N851" s="120"/>
      <c r="O851" s="119"/>
      <c r="P851" s="120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customFormat="false" ht="14.25" hidden="false" customHeight="true" outlineLevel="0" collapsed="false">
      <c r="A852" s="141"/>
      <c r="B852" s="142"/>
      <c r="C852" s="143"/>
      <c r="D852" s="144"/>
      <c r="E852" s="119"/>
      <c r="F852" s="120"/>
      <c r="G852" s="119"/>
      <c r="H852" s="120"/>
      <c r="I852" s="119"/>
      <c r="J852" s="120"/>
      <c r="K852" s="119"/>
      <c r="L852" s="120"/>
      <c r="M852" s="119"/>
      <c r="N852" s="120"/>
      <c r="O852" s="119"/>
      <c r="P852" s="120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customFormat="false" ht="14.25" hidden="false" customHeight="true" outlineLevel="0" collapsed="false">
      <c r="A853" s="141"/>
      <c r="B853" s="142"/>
      <c r="C853" s="143"/>
      <c r="D853" s="144"/>
      <c r="E853" s="119"/>
      <c r="F853" s="120"/>
      <c r="G853" s="119"/>
      <c r="H853" s="120"/>
      <c r="I853" s="119"/>
      <c r="J853" s="120"/>
      <c r="K853" s="119"/>
      <c r="L853" s="120"/>
      <c r="M853" s="119"/>
      <c r="N853" s="120"/>
      <c r="O853" s="119"/>
      <c r="P853" s="120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customFormat="false" ht="14.25" hidden="false" customHeight="true" outlineLevel="0" collapsed="false">
      <c r="A854" s="141"/>
      <c r="B854" s="142"/>
      <c r="C854" s="143"/>
      <c r="D854" s="144"/>
      <c r="E854" s="119"/>
      <c r="F854" s="120"/>
      <c r="G854" s="119"/>
      <c r="H854" s="120"/>
      <c r="I854" s="119"/>
      <c r="J854" s="120"/>
      <c r="K854" s="119"/>
      <c r="L854" s="120"/>
      <c r="M854" s="119"/>
      <c r="N854" s="120"/>
      <c r="O854" s="119"/>
      <c r="P854" s="120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customFormat="false" ht="14.25" hidden="false" customHeight="true" outlineLevel="0" collapsed="false">
      <c r="A855" s="141"/>
      <c r="B855" s="142"/>
      <c r="C855" s="143"/>
      <c r="D855" s="144"/>
      <c r="E855" s="119"/>
      <c r="F855" s="120"/>
      <c r="G855" s="119"/>
      <c r="H855" s="120"/>
      <c r="I855" s="119"/>
      <c r="J855" s="120"/>
      <c r="K855" s="119"/>
      <c r="L855" s="120"/>
      <c r="M855" s="119"/>
      <c r="N855" s="120"/>
      <c r="O855" s="119"/>
      <c r="P855" s="120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customFormat="false" ht="14.25" hidden="false" customHeight="true" outlineLevel="0" collapsed="false">
      <c r="A856" s="141"/>
      <c r="B856" s="142"/>
      <c r="C856" s="143"/>
      <c r="D856" s="144"/>
      <c r="E856" s="119"/>
      <c r="F856" s="120"/>
      <c r="G856" s="119"/>
      <c r="H856" s="120"/>
      <c r="I856" s="119"/>
      <c r="J856" s="120"/>
      <c r="K856" s="119"/>
      <c r="L856" s="120"/>
      <c r="M856" s="119"/>
      <c r="N856" s="120"/>
      <c r="O856" s="119"/>
      <c r="P856" s="120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customFormat="false" ht="14.25" hidden="false" customHeight="true" outlineLevel="0" collapsed="false">
      <c r="A857" s="141"/>
      <c r="B857" s="142"/>
      <c r="C857" s="143"/>
      <c r="D857" s="144"/>
      <c r="E857" s="119"/>
      <c r="F857" s="120"/>
      <c r="G857" s="119"/>
      <c r="H857" s="120"/>
      <c r="I857" s="119"/>
      <c r="J857" s="120"/>
      <c r="K857" s="119"/>
      <c r="L857" s="120"/>
      <c r="M857" s="119"/>
      <c r="N857" s="120"/>
      <c r="O857" s="119"/>
      <c r="P857" s="120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customFormat="false" ht="14.25" hidden="false" customHeight="true" outlineLevel="0" collapsed="false">
      <c r="A858" s="141"/>
      <c r="B858" s="142"/>
      <c r="C858" s="143"/>
      <c r="D858" s="144"/>
      <c r="E858" s="119"/>
      <c r="F858" s="120"/>
      <c r="G858" s="119"/>
      <c r="H858" s="120"/>
      <c r="I858" s="119"/>
      <c r="J858" s="120"/>
      <c r="K858" s="119"/>
      <c r="L858" s="120"/>
      <c r="M858" s="119"/>
      <c r="N858" s="120"/>
      <c r="O858" s="119"/>
      <c r="P858" s="120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customFormat="false" ht="14.25" hidden="false" customHeight="true" outlineLevel="0" collapsed="false">
      <c r="A859" s="141"/>
      <c r="B859" s="142"/>
      <c r="C859" s="143"/>
      <c r="D859" s="144"/>
      <c r="E859" s="119"/>
      <c r="F859" s="120"/>
      <c r="G859" s="119"/>
      <c r="H859" s="120"/>
      <c r="I859" s="119"/>
      <c r="J859" s="120"/>
      <c r="K859" s="119"/>
      <c r="L859" s="120"/>
      <c r="M859" s="119"/>
      <c r="N859" s="120"/>
      <c r="O859" s="119"/>
      <c r="P859" s="120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customFormat="false" ht="14.25" hidden="false" customHeight="true" outlineLevel="0" collapsed="false">
      <c r="A860" s="141"/>
      <c r="B860" s="142"/>
      <c r="C860" s="143"/>
      <c r="D860" s="144"/>
      <c r="E860" s="119"/>
      <c r="F860" s="120"/>
      <c r="G860" s="119"/>
      <c r="H860" s="120"/>
      <c r="I860" s="119"/>
      <c r="J860" s="120"/>
      <c r="K860" s="119"/>
      <c r="L860" s="120"/>
      <c r="M860" s="119"/>
      <c r="N860" s="120"/>
      <c r="O860" s="119"/>
      <c r="P860" s="120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customFormat="false" ht="14.25" hidden="false" customHeight="true" outlineLevel="0" collapsed="false">
      <c r="A861" s="141"/>
      <c r="B861" s="142"/>
      <c r="C861" s="143"/>
      <c r="D861" s="144"/>
      <c r="E861" s="119"/>
      <c r="F861" s="120"/>
      <c r="G861" s="119"/>
      <c r="H861" s="120"/>
      <c r="I861" s="119"/>
      <c r="J861" s="120"/>
      <c r="K861" s="119"/>
      <c r="L861" s="120"/>
      <c r="M861" s="119"/>
      <c r="N861" s="120"/>
      <c r="O861" s="119"/>
      <c r="P861" s="120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customFormat="false" ht="14.25" hidden="false" customHeight="true" outlineLevel="0" collapsed="false">
      <c r="A862" s="141"/>
      <c r="B862" s="142"/>
      <c r="C862" s="143"/>
      <c r="D862" s="144"/>
      <c r="E862" s="119"/>
      <c r="F862" s="120"/>
      <c r="G862" s="119"/>
      <c r="H862" s="120"/>
      <c r="I862" s="119"/>
      <c r="J862" s="120"/>
      <c r="K862" s="119"/>
      <c r="L862" s="120"/>
      <c r="M862" s="119"/>
      <c r="N862" s="120"/>
      <c r="O862" s="119"/>
      <c r="P862" s="120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customFormat="false" ht="14.25" hidden="false" customHeight="true" outlineLevel="0" collapsed="false">
      <c r="A863" s="141"/>
      <c r="B863" s="142"/>
      <c r="C863" s="143"/>
      <c r="D863" s="144"/>
      <c r="E863" s="119"/>
      <c r="F863" s="120"/>
      <c r="G863" s="119"/>
      <c r="H863" s="120"/>
      <c r="I863" s="119"/>
      <c r="J863" s="120"/>
      <c r="K863" s="119"/>
      <c r="L863" s="120"/>
      <c r="M863" s="119"/>
      <c r="N863" s="120"/>
      <c r="O863" s="119"/>
      <c r="P863" s="120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customFormat="false" ht="14.25" hidden="false" customHeight="true" outlineLevel="0" collapsed="false">
      <c r="A864" s="141"/>
      <c r="B864" s="142"/>
      <c r="C864" s="143"/>
      <c r="D864" s="144"/>
      <c r="E864" s="119"/>
      <c r="F864" s="120"/>
      <c r="G864" s="119"/>
      <c r="H864" s="120"/>
      <c r="I864" s="119"/>
      <c r="J864" s="120"/>
      <c r="K864" s="119"/>
      <c r="L864" s="120"/>
      <c r="M864" s="119"/>
      <c r="N864" s="120"/>
      <c r="O864" s="119"/>
      <c r="P864" s="120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customFormat="false" ht="14.25" hidden="false" customHeight="true" outlineLevel="0" collapsed="false">
      <c r="A865" s="141"/>
      <c r="B865" s="142"/>
      <c r="C865" s="143"/>
      <c r="D865" s="144"/>
      <c r="E865" s="119"/>
      <c r="F865" s="120"/>
      <c r="G865" s="119"/>
      <c r="H865" s="120"/>
      <c r="I865" s="119"/>
      <c r="J865" s="120"/>
      <c r="K865" s="119"/>
      <c r="L865" s="120"/>
      <c r="M865" s="119"/>
      <c r="N865" s="120"/>
      <c r="O865" s="119"/>
      <c r="P865" s="120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customFormat="false" ht="14.25" hidden="false" customHeight="true" outlineLevel="0" collapsed="false">
      <c r="A866" s="141"/>
      <c r="B866" s="142"/>
      <c r="C866" s="143"/>
      <c r="D866" s="144"/>
      <c r="E866" s="119"/>
      <c r="F866" s="120"/>
      <c r="G866" s="119"/>
      <c r="H866" s="120"/>
      <c r="I866" s="119"/>
      <c r="J866" s="120"/>
      <c r="K866" s="119"/>
      <c r="L866" s="120"/>
      <c r="M866" s="119"/>
      <c r="N866" s="120"/>
      <c r="O866" s="119"/>
      <c r="P866" s="120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customFormat="false" ht="14.25" hidden="false" customHeight="true" outlineLevel="0" collapsed="false">
      <c r="A867" s="141"/>
      <c r="B867" s="142"/>
      <c r="C867" s="143"/>
      <c r="D867" s="144"/>
      <c r="E867" s="119"/>
      <c r="F867" s="120"/>
      <c r="G867" s="119"/>
      <c r="H867" s="120"/>
      <c r="I867" s="119"/>
      <c r="J867" s="120"/>
      <c r="K867" s="119"/>
      <c r="L867" s="120"/>
      <c r="M867" s="119"/>
      <c r="N867" s="120"/>
      <c r="O867" s="119"/>
      <c r="P867" s="120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customFormat="false" ht="14.25" hidden="false" customHeight="true" outlineLevel="0" collapsed="false">
      <c r="A868" s="141"/>
      <c r="B868" s="142"/>
      <c r="C868" s="143"/>
      <c r="D868" s="144"/>
      <c r="E868" s="119"/>
      <c r="F868" s="120"/>
      <c r="G868" s="119"/>
      <c r="H868" s="120"/>
      <c r="I868" s="119"/>
      <c r="J868" s="120"/>
      <c r="K868" s="119"/>
      <c r="L868" s="120"/>
      <c r="M868" s="119"/>
      <c r="N868" s="120"/>
      <c r="O868" s="119"/>
      <c r="P868" s="120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customFormat="false" ht="14.25" hidden="false" customHeight="true" outlineLevel="0" collapsed="false">
      <c r="A869" s="141"/>
      <c r="B869" s="142"/>
      <c r="C869" s="143"/>
      <c r="D869" s="144"/>
      <c r="E869" s="119"/>
      <c r="F869" s="120"/>
      <c r="G869" s="119"/>
      <c r="H869" s="120"/>
      <c r="I869" s="119"/>
      <c r="J869" s="120"/>
      <c r="K869" s="119"/>
      <c r="L869" s="120"/>
      <c r="M869" s="119"/>
      <c r="N869" s="120"/>
      <c r="O869" s="119"/>
      <c r="P869" s="120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customFormat="false" ht="14.25" hidden="false" customHeight="true" outlineLevel="0" collapsed="false">
      <c r="A870" s="141"/>
      <c r="B870" s="142"/>
      <c r="C870" s="143"/>
      <c r="D870" s="144"/>
      <c r="E870" s="119"/>
      <c r="F870" s="120"/>
      <c r="G870" s="119"/>
      <c r="H870" s="120"/>
      <c r="I870" s="119"/>
      <c r="J870" s="120"/>
      <c r="K870" s="119"/>
      <c r="L870" s="120"/>
      <c r="M870" s="119"/>
      <c r="N870" s="120"/>
      <c r="O870" s="119"/>
      <c r="P870" s="120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customFormat="false" ht="14.25" hidden="false" customHeight="true" outlineLevel="0" collapsed="false">
      <c r="A871" s="141"/>
      <c r="B871" s="142"/>
      <c r="C871" s="143"/>
      <c r="D871" s="144"/>
      <c r="E871" s="119"/>
      <c r="F871" s="120"/>
      <c r="G871" s="119"/>
      <c r="H871" s="120"/>
      <c r="I871" s="119"/>
      <c r="J871" s="120"/>
      <c r="K871" s="119"/>
      <c r="L871" s="120"/>
      <c r="M871" s="119"/>
      <c r="N871" s="120"/>
      <c r="O871" s="119"/>
      <c r="P871" s="120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customFormat="false" ht="14.25" hidden="false" customHeight="true" outlineLevel="0" collapsed="false">
      <c r="A872" s="141"/>
      <c r="B872" s="142"/>
      <c r="C872" s="143"/>
      <c r="D872" s="144"/>
      <c r="E872" s="119"/>
      <c r="F872" s="120"/>
      <c r="G872" s="119"/>
      <c r="H872" s="120"/>
      <c r="I872" s="119"/>
      <c r="J872" s="120"/>
      <c r="K872" s="119"/>
      <c r="L872" s="120"/>
      <c r="M872" s="119"/>
      <c r="N872" s="120"/>
      <c r="O872" s="119"/>
      <c r="P872" s="120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customFormat="false" ht="14.25" hidden="false" customHeight="true" outlineLevel="0" collapsed="false">
      <c r="A873" s="141"/>
      <c r="B873" s="142"/>
      <c r="C873" s="143"/>
      <c r="D873" s="144"/>
      <c r="E873" s="119"/>
      <c r="F873" s="120"/>
      <c r="G873" s="119"/>
      <c r="H873" s="120"/>
      <c r="I873" s="119"/>
      <c r="J873" s="120"/>
      <c r="K873" s="119"/>
      <c r="L873" s="120"/>
      <c r="M873" s="119"/>
      <c r="N873" s="120"/>
      <c r="O873" s="119"/>
      <c r="P873" s="120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customFormat="false" ht="14.25" hidden="false" customHeight="true" outlineLevel="0" collapsed="false">
      <c r="A874" s="141"/>
      <c r="B874" s="142"/>
      <c r="C874" s="143"/>
      <c r="D874" s="144"/>
      <c r="E874" s="119"/>
      <c r="F874" s="120"/>
      <c r="G874" s="119"/>
      <c r="H874" s="120"/>
      <c r="I874" s="119"/>
      <c r="J874" s="120"/>
      <c r="K874" s="119"/>
      <c r="L874" s="120"/>
      <c r="M874" s="119"/>
      <c r="N874" s="120"/>
      <c r="O874" s="119"/>
      <c r="P874" s="120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customFormat="false" ht="14.25" hidden="false" customHeight="true" outlineLevel="0" collapsed="false">
      <c r="A875" s="141"/>
      <c r="B875" s="142"/>
      <c r="C875" s="143"/>
      <c r="D875" s="144"/>
      <c r="E875" s="119"/>
      <c r="F875" s="120"/>
      <c r="G875" s="119"/>
      <c r="H875" s="120"/>
      <c r="I875" s="119"/>
      <c r="J875" s="120"/>
      <c r="K875" s="119"/>
      <c r="L875" s="120"/>
      <c r="M875" s="119"/>
      <c r="N875" s="120"/>
      <c r="O875" s="119"/>
      <c r="P875" s="120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customFormat="false" ht="14.25" hidden="false" customHeight="true" outlineLevel="0" collapsed="false">
      <c r="A876" s="141"/>
      <c r="B876" s="142"/>
      <c r="C876" s="143"/>
      <c r="D876" s="144"/>
      <c r="E876" s="119"/>
      <c r="F876" s="120"/>
      <c r="G876" s="119"/>
      <c r="H876" s="120"/>
      <c r="I876" s="119"/>
      <c r="J876" s="120"/>
      <c r="K876" s="119"/>
      <c r="L876" s="120"/>
      <c r="M876" s="119"/>
      <c r="N876" s="120"/>
      <c r="O876" s="119"/>
      <c r="P876" s="120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customFormat="false" ht="14.25" hidden="false" customHeight="true" outlineLevel="0" collapsed="false">
      <c r="A877" s="141"/>
      <c r="B877" s="142"/>
      <c r="C877" s="143"/>
      <c r="D877" s="144"/>
      <c r="E877" s="119"/>
      <c r="F877" s="120"/>
      <c r="G877" s="119"/>
      <c r="H877" s="120"/>
      <c r="I877" s="119"/>
      <c r="J877" s="120"/>
      <c r="K877" s="119"/>
      <c r="L877" s="120"/>
      <c r="M877" s="119"/>
      <c r="N877" s="120"/>
      <c r="O877" s="119"/>
      <c r="P877" s="120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customFormat="false" ht="14.25" hidden="false" customHeight="true" outlineLevel="0" collapsed="false">
      <c r="A878" s="141"/>
      <c r="B878" s="142"/>
      <c r="C878" s="143"/>
      <c r="D878" s="144"/>
      <c r="E878" s="119"/>
      <c r="F878" s="120"/>
      <c r="G878" s="119"/>
      <c r="H878" s="120"/>
      <c r="I878" s="119"/>
      <c r="J878" s="120"/>
      <c r="K878" s="119"/>
      <c r="L878" s="120"/>
      <c r="M878" s="119"/>
      <c r="N878" s="120"/>
      <c r="O878" s="119"/>
      <c r="P878" s="120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customFormat="false" ht="14.25" hidden="false" customHeight="true" outlineLevel="0" collapsed="false">
      <c r="A879" s="141"/>
      <c r="B879" s="142"/>
      <c r="C879" s="143"/>
      <c r="D879" s="144"/>
      <c r="E879" s="119"/>
      <c r="F879" s="120"/>
      <c r="G879" s="119"/>
      <c r="H879" s="120"/>
      <c r="I879" s="119"/>
      <c r="J879" s="120"/>
      <c r="K879" s="119"/>
      <c r="L879" s="120"/>
      <c r="M879" s="119"/>
      <c r="N879" s="120"/>
      <c r="O879" s="119"/>
      <c r="P879" s="120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customFormat="false" ht="14.25" hidden="false" customHeight="true" outlineLevel="0" collapsed="false">
      <c r="A880" s="141"/>
      <c r="B880" s="142"/>
      <c r="C880" s="143"/>
      <c r="D880" s="144"/>
      <c r="E880" s="119"/>
      <c r="F880" s="120"/>
      <c r="G880" s="119"/>
      <c r="H880" s="120"/>
      <c r="I880" s="119"/>
      <c r="J880" s="120"/>
      <c r="K880" s="119"/>
      <c r="L880" s="120"/>
      <c r="M880" s="119"/>
      <c r="N880" s="120"/>
      <c r="O880" s="119"/>
      <c r="P880" s="120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customFormat="false" ht="14.25" hidden="false" customHeight="true" outlineLevel="0" collapsed="false">
      <c r="A881" s="141"/>
      <c r="B881" s="142"/>
      <c r="C881" s="143"/>
      <c r="D881" s="144"/>
      <c r="E881" s="119"/>
      <c r="F881" s="120"/>
      <c r="G881" s="119"/>
      <c r="H881" s="120"/>
      <c r="I881" s="119"/>
      <c r="J881" s="120"/>
      <c r="K881" s="119"/>
      <c r="L881" s="120"/>
      <c r="M881" s="119"/>
      <c r="N881" s="120"/>
      <c r="O881" s="119"/>
      <c r="P881" s="120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customFormat="false" ht="14.25" hidden="false" customHeight="true" outlineLevel="0" collapsed="false">
      <c r="A882" s="141"/>
      <c r="B882" s="142"/>
      <c r="C882" s="143"/>
      <c r="D882" s="144"/>
      <c r="E882" s="119"/>
      <c r="F882" s="120"/>
      <c r="G882" s="119"/>
      <c r="H882" s="120"/>
      <c r="I882" s="119"/>
      <c r="J882" s="120"/>
      <c r="K882" s="119"/>
      <c r="L882" s="120"/>
      <c r="M882" s="119"/>
      <c r="N882" s="120"/>
      <c r="O882" s="119"/>
      <c r="P882" s="120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customFormat="false" ht="14.25" hidden="false" customHeight="true" outlineLevel="0" collapsed="false">
      <c r="A883" s="141"/>
      <c r="B883" s="142"/>
      <c r="C883" s="143"/>
      <c r="D883" s="144"/>
      <c r="E883" s="119"/>
      <c r="F883" s="120"/>
      <c r="G883" s="119"/>
      <c r="H883" s="120"/>
      <c r="I883" s="119"/>
      <c r="J883" s="120"/>
      <c r="K883" s="119"/>
      <c r="L883" s="120"/>
      <c r="M883" s="119"/>
      <c r="N883" s="120"/>
      <c r="O883" s="119"/>
      <c r="P883" s="120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customFormat="false" ht="14.25" hidden="false" customHeight="true" outlineLevel="0" collapsed="false">
      <c r="A884" s="141"/>
      <c r="B884" s="142"/>
      <c r="C884" s="143"/>
      <c r="D884" s="144"/>
      <c r="E884" s="119"/>
      <c r="F884" s="120"/>
      <c r="G884" s="119"/>
      <c r="H884" s="120"/>
      <c r="I884" s="119"/>
      <c r="J884" s="120"/>
      <c r="K884" s="119"/>
      <c r="L884" s="120"/>
      <c r="M884" s="119"/>
      <c r="N884" s="120"/>
      <c r="O884" s="119"/>
      <c r="P884" s="120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customFormat="false" ht="14.25" hidden="false" customHeight="true" outlineLevel="0" collapsed="false">
      <c r="A885" s="141"/>
      <c r="B885" s="142"/>
      <c r="C885" s="143"/>
      <c r="D885" s="144"/>
      <c r="E885" s="119"/>
      <c r="F885" s="120"/>
      <c r="G885" s="119"/>
      <c r="H885" s="120"/>
      <c r="I885" s="119"/>
      <c r="J885" s="120"/>
      <c r="K885" s="119"/>
      <c r="L885" s="120"/>
      <c r="M885" s="119"/>
      <c r="N885" s="120"/>
      <c r="O885" s="119"/>
      <c r="P885" s="120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customFormat="false" ht="14.25" hidden="false" customHeight="true" outlineLevel="0" collapsed="false">
      <c r="A886" s="141"/>
      <c r="B886" s="142"/>
      <c r="C886" s="143"/>
      <c r="D886" s="144"/>
      <c r="E886" s="119"/>
      <c r="F886" s="120"/>
      <c r="G886" s="119"/>
      <c r="H886" s="120"/>
      <c r="I886" s="119"/>
      <c r="J886" s="120"/>
      <c r="K886" s="119"/>
      <c r="L886" s="120"/>
      <c r="M886" s="119"/>
      <c r="N886" s="120"/>
      <c r="O886" s="119"/>
      <c r="P886" s="120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customFormat="false" ht="14.25" hidden="false" customHeight="true" outlineLevel="0" collapsed="false">
      <c r="A887" s="141"/>
      <c r="B887" s="142"/>
      <c r="C887" s="143"/>
      <c r="D887" s="144"/>
      <c r="E887" s="119"/>
      <c r="F887" s="120"/>
      <c r="G887" s="119"/>
      <c r="H887" s="120"/>
      <c r="I887" s="119"/>
      <c r="J887" s="120"/>
      <c r="K887" s="119"/>
      <c r="L887" s="120"/>
      <c r="M887" s="119"/>
      <c r="N887" s="120"/>
      <c r="O887" s="119"/>
      <c r="P887" s="120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customFormat="false" ht="14.25" hidden="false" customHeight="true" outlineLevel="0" collapsed="false">
      <c r="A888" s="141"/>
      <c r="B888" s="142"/>
      <c r="C888" s="143"/>
      <c r="D888" s="144"/>
      <c r="E888" s="119"/>
      <c r="F888" s="120"/>
      <c r="G888" s="119"/>
      <c r="H888" s="120"/>
      <c r="I888" s="119"/>
      <c r="J888" s="120"/>
      <c r="K888" s="119"/>
      <c r="L888" s="120"/>
      <c r="M888" s="119"/>
      <c r="N888" s="120"/>
      <c r="O888" s="119"/>
      <c r="P888" s="120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customFormat="false" ht="14.25" hidden="false" customHeight="true" outlineLevel="0" collapsed="false">
      <c r="A889" s="141"/>
      <c r="B889" s="142"/>
      <c r="C889" s="143"/>
      <c r="D889" s="144"/>
      <c r="E889" s="119"/>
      <c r="F889" s="120"/>
      <c r="G889" s="119"/>
      <c r="H889" s="120"/>
      <c r="I889" s="119"/>
      <c r="J889" s="120"/>
      <c r="K889" s="119"/>
      <c r="L889" s="120"/>
      <c r="M889" s="119"/>
      <c r="N889" s="120"/>
      <c r="O889" s="119"/>
      <c r="P889" s="120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customFormat="false" ht="14.25" hidden="false" customHeight="true" outlineLevel="0" collapsed="false">
      <c r="A890" s="141"/>
      <c r="B890" s="142"/>
      <c r="C890" s="143"/>
      <c r="D890" s="144"/>
      <c r="E890" s="119"/>
      <c r="F890" s="120"/>
      <c r="G890" s="119"/>
      <c r="H890" s="120"/>
      <c r="I890" s="119"/>
      <c r="J890" s="120"/>
      <c r="K890" s="119"/>
      <c r="L890" s="120"/>
      <c r="M890" s="119"/>
      <c r="N890" s="120"/>
      <c r="O890" s="119"/>
      <c r="P890" s="120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customFormat="false" ht="14.25" hidden="false" customHeight="true" outlineLevel="0" collapsed="false">
      <c r="A891" s="141"/>
      <c r="B891" s="142"/>
      <c r="C891" s="143"/>
      <c r="D891" s="144"/>
      <c r="E891" s="119"/>
      <c r="F891" s="120"/>
      <c r="G891" s="119"/>
      <c r="H891" s="120"/>
      <c r="I891" s="119"/>
      <c r="J891" s="120"/>
      <c r="K891" s="119"/>
      <c r="L891" s="120"/>
      <c r="M891" s="119"/>
      <c r="N891" s="120"/>
      <c r="O891" s="119"/>
      <c r="P891" s="120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customFormat="false" ht="14.25" hidden="false" customHeight="true" outlineLevel="0" collapsed="false">
      <c r="A892" s="141"/>
      <c r="B892" s="142"/>
      <c r="C892" s="143"/>
      <c r="D892" s="144"/>
      <c r="E892" s="119"/>
      <c r="F892" s="120"/>
      <c r="G892" s="119"/>
      <c r="H892" s="120"/>
      <c r="I892" s="119"/>
      <c r="J892" s="120"/>
      <c r="K892" s="119"/>
      <c r="L892" s="120"/>
      <c r="M892" s="119"/>
      <c r="N892" s="120"/>
      <c r="O892" s="119"/>
      <c r="P892" s="120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customFormat="false" ht="14.25" hidden="false" customHeight="true" outlineLevel="0" collapsed="false">
      <c r="A893" s="141"/>
      <c r="B893" s="142"/>
      <c r="C893" s="143"/>
      <c r="D893" s="144"/>
      <c r="E893" s="119"/>
      <c r="F893" s="120"/>
      <c r="G893" s="119"/>
      <c r="H893" s="120"/>
      <c r="I893" s="119"/>
      <c r="J893" s="120"/>
      <c r="K893" s="119"/>
      <c r="L893" s="120"/>
      <c r="M893" s="119"/>
      <c r="N893" s="120"/>
      <c r="O893" s="119"/>
      <c r="P893" s="120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customFormat="false" ht="14.25" hidden="false" customHeight="true" outlineLevel="0" collapsed="false">
      <c r="A894" s="141"/>
      <c r="B894" s="142"/>
      <c r="C894" s="143"/>
      <c r="D894" s="144"/>
      <c r="E894" s="119"/>
      <c r="F894" s="120"/>
      <c r="G894" s="119"/>
      <c r="H894" s="120"/>
      <c r="I894" s="119"/>
      <c r="J894" s="120"/>
      <c r="K894" s="119"/>
      <c r="L894" s="120"/>
      <c r="M894" s="119"/>
      <c r="N894" s="120"/>
      <c r="O894" s="119"/>
      <c r="P894" s="120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customFormat="false" ht="14.25" hidden="false" customHeight="true" outlineLevel="0" collapsed="false">
      <c r="A895" s="141"/>
      <c r="B895" s="142"/>
      <c r="C895" s="143"/>
      <c r="D895" s="144"/>
      <c r="E895" s="119"/>
      <c r="F895" s="120"/>
      <c r="G895" s="119"/>
      <c r="H895" s="120"/>
      <c r="I895" s="119"/>
      <c r="J895" s="120"/>
      <c r="K895" s="119"/>
      <c r="L895" s="120"/>
      <c r="M895" s="119"/>
      <c r="N895" s="120"/>
      <c r="O895" s="119"/>
      <c r="P895" s="120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customFormat="false" ht="14.25" hidden="false" customHeight="true" outlineLevel="0" collapsed="false">
      <c r="A896" s="141"/>
      <c r="B896" s="142"/>
      <c r="C896" s="143"/>
      <c r="D896" s="144"/>
      <c r="E896" s="119"/>
      <c r="F896" s="120"/>
      <c r="G896" s="119"/>
      <c r="H896" s="120"/>
      <c r="I896" s="119"/>
      <c r="J896" s="120"/>
      <c r="K896" s="119"/>
      <c r="L896" s="120"/>
      <c r="M896" s="119"/>
      <c r="N896" s="120"/>
      <c r="O896" s="119"/>
      <c r="P896" s="120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customFormat="false" ht="14.25" hidden="false" customHeight="true" outlineLevel="0" collapsed="false">
      <c r="A897" s="141"/>
      <c r="B897" s="142"/>
      <c r="C897" s="143"/>
      <c r="D897" s="144"/>
      <c r="E897" s="119"/>
      <c r="F897" s="120"/>
      <c r="G897" s="119"/>
      <c r="H897" s="120"/>
      <c r="I897" s="119"/>
      <c r="J897" s="120"/>
      <c r="K897" s="119"/>
      <c r="L897" s="120"/>
      <c r="M897" s="119"/>
      <c r="N897" s="120"/>
      <c r="O897" s="119"/>
      <c r="P897" s="120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customFormat="false" ht="14.25" hidden="false" customHeight="true" outlineLevel="0" collapsed="false">
      <c r="A898" s="141"/>
      <c r="B898" s="142"/>
      <c r="C898" s="143"/>
      <c r="D898" s="144"/>
      <c r="E898" s="119"/>
      <c r="F898" s="120"/>
      <c r="G898" s="119"/>
      <c r="H898" s="120"/>
      <c r="I898" s="119"/>
      <c r="J898" s="120"/>
      <c r="K898" s="119"/>
      <c r="L898" s="120"/>
      <c r="M898" s="119"/>
      <c r="N898" s="120"/>
      <c r="O898" s="119"/>
      <c r="P898" s="120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customFormat="false" ht="14.25" hidden="false" customHeight="true" outlineLevel="0" collapsed="false">
      <c r="A899" s="141"/>
      <c r="B899" s="142"/>
      <c r="C899" s="143"/>
      <c r="D899" s="144"/>
      <c r="E899" s="119"/>
      <c r="F899" s="120"/>
      <c r="G899" s="119"/>
      <c r="H899" s="120"/>
      <c r="I899" s="119"/>
      <c r="J899" s="120"/>
      <c r="K899" s="119"/>
      <c r="L899" s="120"/>
      <c r="M899" s="119"/>
      <c r="N899" s="120"/>
      <c r="O899" s="119"/>
      <c r="P899" s="120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customFormat="false" ht="14.25" hidden="false" customHeight="true" outlineLevel="0" collapsed="false">
      <c r="A900" s="141"/>
      <c r="B900" s="142"/>
      <c r="C900" s="143"/>
      <c r="D900" s="144"/>
      <c r="E900" s="119"/>
      <c r="F900" s="120"/>
      <c r="G900" s="119"/>
      <c r="H900" s="120"/>
      <c r="I900" s="119"/>
      <c r="J900" s="120"/>
      <c r="K900" s="119"/>
      <c r="L900" s="120"/>
      <c r="M900" s="119"/>
      <c r="N900" s="120"/>
      <c r="O900" s="119"/>
      <c r="P900" s="120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customFormat="false" ht="14.25" hidden="false" customHeight="true" outlineLevel="0" collapsed="false">
      <c r="A901" s="141"/>
      <c r="B901" s="142"/>
      <c r="C901" s="143"/>
      <c r="D901" s="144"/>
      <c r="E901" s="119"/>
      <c r="F901" s="120"/>
      <c r="G901" s="119"/>
      <c r="H901" s="120"/>
      <c r="I901" s="119"/>
      <c r="J901" s="120"/>
      <c r="K901" s="119"/>
      <c r="L901" s="120"/>
      <c r="M901" s="119"/>
      <c r="N901" s="120"/>
      <c r="O901" s="119"/>
      <c r="P901" s="120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customFormat="false" ht="14.25" hidden="false" customHeight="true" outlineLevel="0" collapsed="false">
      <c r="A902" s="141"/>
      <c r="B902" s="142"/>
      <c r="C902" s="143"/>
      <c r="D902" s="144"/>
      <c r="E902" s="119"/>
      <c r="F902" s="120"/>
      <c r="G902" s="119"/>
      <c r="H902" s="120"/>
      <c r="I902" s="119"/>
      <c r="J902" s="120"/>
      <c r="K902" s="119"/>
      <c r="L902" s="120"/>
      <c r="M902" s="119"/>
      <c r="N902" s="120"/>
      <c r="O902" s="119"/>
      <c r="P902" s="120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customFormat="false" ht="14.25" hidden="false" customHeight="true" outlineLevel="0" collapsed="false">
      <c r="A903" s="141"/>
      <c r="B903" s="142"/>
      <c r="C903" s="143"/>
      <c r="D903" s="144"/>
      <c r="E903" s="119"/>
      <c r="F903" s="120"/>
      <c r="G903" s="119"/>
      <c r="H903" s="120"/>
      <c r="I903" s="119"/>
      <c r="J903" s="120"/>
      <c r="K903" s="119"/>
      <c r="L903" s="120"/>
      <c r="M903" s="119"/>
      <c r="N903" s="120"/>
      <c r="O903" s="119"/>
      <c r="P903" s="120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customFormat="false" ht="14.25" hidden="false" customHeight="true" outlineLevel="0" collapsed="false">
      <c r="A904" s="141"/>
      <c r="B904" s="142"/>
      <c r="C904" s="143"/>
      <c r="D904" s="144"/>
      <c r="E904" s="119"/>
      <c r="F904" s="120"/>
      <c r="G904" s="119"/>
      <c r="H904" s="120"/>
      <c r="I904" s="119"/>
      <c r="J904" s="120"/>
      <c r="K904" s="119"/>
      <c r="L904" s="120"/>
      <c r="M904" s="119"/>
      <c r="N904" s="120"/>
      <c r="O904" s="119"/>
      <c r="P904" s="120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customFormat="false" ht="14.25" hidden="false" customHeight="true" outlineLevel="0" collapsed="false">
      <c r="A905" s="141"/>
      <c r="B905" s="142"/>
      <c r="C905" s="143"/>
      <c r="D905" s="144"/>
      <c r="E905" s="119"/>
      <c r="F905" s="120"/>
      <c r="G905" s="119"/>
      <c r="H905" s="120"/>
      <c r="I905" s="119"/>
      <c r="J905" s="120"/>
      <c r="K905" s="119"/>
      <c r="L905" s="120"/>
      <c r="M905" s="119"/>
      <c r="N905" s="120"/>
      <c r="O905" s="119"/>
      <c r="P905" s="120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customFormat="false" ht="14.25" hidden="false" customHeight="true" outlineLevel="0" collapsed="false">
      <c r="A906" s="141"/>
      <c r="B906" s="142"/>
      <c r="C906" s="143"/>
      <c r="D906" s="144"/>
      <c r="E906" s="119"/>
      <c r="F906" s="120"/>
      <c r="G906" s="119"/>
      <c r="H906" s="120"/>
      <c r="I906" s="119"/>
      <c r="J906" s="120"/>
      <c r="K906" s="119"/>
      <c r="L906" s="120"/>
      <c r="M906" s="119"/>
      <c r="N906" s="120"/>
      <c r="O906" s="119"/>
      <c r="P906" s="120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customFormat="false" ht="14.25" hidden="false" customHeight="true" outlineLevel="0" collapsed="false">
      <c r="A907" s="141"/>
      <c r="B907" s="142"/>
      <c r="C907" s="143"/>
      <c r="D907" s="144"/>
      <c r="E907" s="119"/>
      <c r="F907" s="120"/>
      <c r="G907" s="119"/>
      <c r="H907" s="120"/>
      <c r="I907" s="119"/>
      <c r="J907" s="120"/>
      <c r="K907" s="119"/>
      <c r="L907" s="120"/>
      <c r="M907" s="119"/>
      <c r="N907" s="120"/>
      <c r="O907" s="119"/>
      <c r="P907" s="120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customFormat="false" ht="14.25" hidden="false" customHeight="true" outlineLevel="0" collapsed="false">
      <c r="A908" s="141"/>
      <c r="B908" s="142"/>
      <c r="C908" s="143"/>
      <c r="D908" s="144"/>
      <c r="E908" s="119"/>
      <c r="F908" s="120"/>
      <c r="G908" s="119"/>
      <c r="H908" s="120"/>
      <c r="I908" s="119"/>
      <c r="J908" s="120"/>
      <c r="K908" s="119"/>
      <c r="L908" s="120"/>
      <c r="M908" s="119"/>
      <c r="N908" s="120"/>
      <c r="O908" s="119"/>
      <c r="P908" s="120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customFormat="false" ht="14.25" hidden="false" customHeight="true" outlineLevel="0" collapsed="false">
      <c r="A909" s="141"/>
      <c r="B909" s="142"/>
      <c r="C909" s="143"/>
      <c r="D909" s="144"/>
      <c r="E909" s="119"/>
      <c r="F909" s="120"/>
      <c r="G909" s="119"/>
      <c r="H909" s="120"/>
      <c r="I909" s="119"/>
      <c r="J909" s="120"/>
      <c r="K909" s="119"/>
      <c r="L909" s="120"/>
      <c r="M909" s="119"/>
      <c r="N909" s="120"/>
      <c r="O909" s="119"/>
      <c r="P909" s="120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customFormat="false" ht="14.25" hidden="false" customHeight="true" outlineLevel="0" collapsed="false">
      <c r="A910" s="141"/>
      <c r="B910" s="142"/>
      <c r="C910" s="143"/>
      <c r="D910" s="144"/>
      <c r="E910" s="119"/>
      <c r="F910" s="120"/>
      <c r="G910" s="119"/>
      <c r="H910" s="120"/>
      <c r="I910" s="119"/>
      <c r="J910" s="120"/>
      <c r="K910" s="119"/>
      <c r="L910" s="120"/>
      <c r="M910" s="119"/>
      <c r="N910" s="120"/>
      <c r="O910" s="119"/>
      <c r="P910" s="120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customFormat="false" ht="14.25" hidden="false" customHeight="true" outlineLevel="0" collapsed="false">
      <c r="A911" s="141"/>
      <c r="B911" s="142"/>
      <c r="C911" s="143"/>
      <c r="D911" s="144"/>
      <c r="E911" s="119"/>
      <c r="F911" s="120"/>
      <c r="G911" s="119"/>
      <c r="H911" s="120"/>
      <c r="I911" s="119"/>
      <c r="J911" s="120"/>
      <c r="K911" s="119"/>
      <c r="L911" s="120"/>
      <c r="M911" s="119"/>
      <c r="N911" s="120"/>
      <c r="O911" s="119"/>
      <c r="P911" s="120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customFormat="false" ht="14.25" hidden="false" customHeight="true" outlineLevel="0" collapsed="false">
      <c r="A912" s="141"/>
      <c r="B912" s="142"/>
      <c r="C912" s="143"/>
      <c r="D912" s="144"/>
      <c r="E912" s="119"/>
      <c r="F912" s="120"/>
      <c r="G912" s="119"/>
      <c r="H912" s="120"/>
      <c r="I912" s="119"/>
      <c r="J912" s="120"/>
      <c r="K912" s="119"/>
      <c r="L912" s="120"/>
      <c r="M912" s="119"/>
      <c r="N912" s="120"/>
      <c r="O912" s="119"/>
      <c r="P912" s="120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customFormat="false" ht="14.25" hidden="false" customHeight="true" outlineLevel="0" collapsed="false">
      <c r="A913" s="141"/>
      <c r="B913" s="142"/>
      <c r="C913" s="143"/>
      <c r="D913" s="144"/>
      <c r="E913" s="119"/>
      <c r="F913" s="120"/>
      <c r="G913" s="119"/>
      <c r="H913" s="120"/>
      <c r="I913" s="119"/>
      <c r="J913" s="120"/>
      <c r="K913" s="119"/>
      <c r="L913" s="120"/>
      <c r="M913" s="119"/>
      <c r="N913" s="120"/>
      <c r="O913" s="119"/>
      <c r="P913" s="120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customFormat="false" ht="14.25" hidden="false" customHeight="true" outlineLevel="0" collapsed="false">
      <c r="A914" s="141"/>
      <c r="B914" s="142"/>
      <c r="C914" s="143"/>
      <c r="D914" s="144"/>
      <c r="E914" s="119"/>
      <c r="F914" s="120"/>
      <c r="G914" s="119"/>
      <c r="H914" s="120"/>
      <c r="I914" s="119"/>
      <c r="J914" s="120"/>
      <c r="K914" s="119"/>
      <c r="L914" s="120"/>
      <c r="M914" s="119"/>
      <c r="N914" s="120"/>
      <c r="O914" s="119"/>
      <c r="P914" s="120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customFormat="false" ht="14.25" hidden="false" customHeight="true" outlineLevel="0" collapsed="false">
      <c r="A915" s="141"/>
      <c r="B915" s="142"/>
      <c r="C915" s="143"/>
      <c r="D915" s="144"/>
      <c r="E915" s="119"/>
      <c r="F915" s="120"/>
      <c r="G915" s="119"/>
      <c r="H915" s="120"/>
      <c r="I915" s="119"/>
      <c r="J915" s="120"/>
      <c r="K915" s="119"/>
      <c r="L915" s="120"/>
      <c r="M915" s="119"/>
      <c r="N915" s="120"/>
      <c r="O915" s="119"/>
      <c r="P915" s="120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customFormat="false" ht="14.25" hidden="false" customHeight="true" outlineLevel="0" collapsed="false">
      <c r="A916" s="141"/>
      <c r="B916" s="142"/>
      <c r="C916" s="143"/>
      <c r="D916" s="144"/>
      <c r="E916" s="119"/>
      <c r="F916" s="120"/>
      <c r="G916" s="119"/>
      <c r="H916" s="120"/>
      <c r="I916" s="119"/>
      <c r="J916" s="120"/>
      <c r="K916" s="119"/>
      <c r="L916" s="120"/>
      <c r="M916" s="119"/>
      <c r="N916" s="120"/>
      <c r="O916" s="119"/>
      <c r="P916" s="120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customFormat="false" ht="14.25" hidden="false" customHeight="true" outlineLevel="0" collapsed="false">
      <c r="A917" s="141"/>
      <c r="B917" s="142"/>
      <c r="C917" s="143"/>
      <c r="D917" s="144"/>
      <c r="E917" s="119"/>
      <c r="F917" s="120"/>
      <c r="G917" s="119"/>
      <c r="H917" s="120"/>
      <c r="I917" s="119"/>
      <c r="J917" s="120"/>
      <c r="K917" s="119"/>
      <c r="L917" s="120"/>
      <c r="M917" s="119"/>
      <c r="N917" s="120"/>
      <c r="O917" s="119"/>
      <c r="P917" s="120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customFormat="false" ht="14.25" hidden="false" customHeight="true" outlineLevel="0" collapsed="false">
      <c r="A918" s="141"/>
      <c r="B918" s="142"/>
      <c r="C918" s="143"/>
      <c r="D918" s="144"/>
      <c r="E918" s="119"/>
      <c r="F918" s="120"/>
      <c r="G918" s="119"/>
      <c r="H918" s="120"/>
      <c r="I918" s="119"/>
      <c r="J918" s="120"/>
      <c r="K918" s="119"/>
      <c r="L918" s="120"/>
      <c r="M918" s="119"/>
      <c r="N918" s="120"/>
      <c r="O918" s="119"/>
      <c r="P918" s="120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customFormat="false" ht="14.25" hidden="false" customHeight="true" outlineLevel="0" collapsed="false">
      <c r="A919" s="141"/>
      <c r="B919" s="142"/>
      <c r="C919" s="143"/>
      <c r="D919" s="144"/>
      <c r="E919" s="119"/>
      <c r="F919" s="120"/>
      <c r="G919" s="119"/>
      <c r="H919" s="120"/>
      <c r="I919" s="119"/>
      <c r="J919" s="120"/>
      <c r="K919" s="119"/>
      <c r="L919" s="120"/>
      <c r="M919" s="119"/>
      <c r="N919" s="120"/>
      <c r="O919" s="119"/>
      <c r="P919" s="120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customFormat="false" ht="14.25" hidden="false" customHeight="true" outlineLevel="0" collapsed="false">
      <c r="A920" s="141"/>
      <c r="B920" s="142"/>
      <c r="C920" s="143"/>
      <c r="D920" s="144"/>
      <c r="E920" s="119"/>
      <c r="F920" s="120"/>
      <c r="G920" s="119"/>
      <c r="H920" s="120"/>
      <c r="I920" s="119"/>
      <c r="J920" s="120"/>
      <c r="K920" s="119"/>
      <c r="L920" s="120"/>
      <c r="M920" s="119"/>
      <c r="N920" s="120"/>
      <c r="O920" s="119"/>
      <c r="P920" s="120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customFormat="false" ht="14.25" hidden="false" customHeight="true" outlineLevel="0" collapsed="false">
      <c r="A921" s="141"/>
      <c r="B921" s="142"/>
      <c r="C921" s="143"/>
      <c r="D921" s="144"/>
      <c r="E921" s="119"/>
      <c r="F921" s="120"/>
      <c r="G921" s="119"/>
      <c r="H921" s="120"/>
      <c r="I921" s="119"/>
      <c r="J921" s="120"/>
      <c r="K921" s="119"/>
      <c r="L921" s="120"/>
      <c r="M921" s="119"/>
      <c r="N921" s="120"/>
      <c r="O921" s="119"/>
      <c r="P921" s="120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customFormat="false" ht="14.25" hidden="false" customHeight="true" outlineLevel="0" collapsed="false">
      <c r="A922" s="141"/>
      <c r="B922" s="142"/>
      <c r="C922" s="143"/>
      <c r="D922" s="144"/>
      <c r="E922" s="119"/>
      <c r="F922" s="120"/>
      <c r="G922" s="119"/>
      <c r="H922" s="120"/>
      <c r="I922" s="119"/>
      <c r="J922" s="120"/>
      <c r="K922" s="119"/>
      <c r="L922" s="120"/>
      <c r="M922" s="119"/>
      <c r="N922" s="120"/>
      <c r="O922" s="119"/>
      <c r="P922" s="120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customFormat="false" ht="14.25" hidden="false" customHeight="true" outlineLevel="0" collapsed="false">
      <c r="A923" s="141"/>
      <c r="B923" s="142"/>
      <c r="C923" s="143"/>
      <c r="D923" s="144"/>
      <c r="E923" s="119"/>
      <c r="F923" s="120"/>
      <c r="G923" s="119"/>
      <c r="H923" s="120"/>
      <c r="I923" s="119"/>
      <c r="J923" s="120"/>
      <c r="K923" s="119"/>
      <c r="L923" s="120"/>
      <c r="M923" s="119"/>
      <c r="N923" s="120"/>
      <c r="O923" s="119"/>
      <c r="P923" s="120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customFormat="false" ht="14.25" hidden="false" customHeight="true" outlineLevel="0" collapsed="false">
      <c r="A924" s="141"/>
      <c r="B924" s="142"/>
      <c r="C924" s="143"/>
      <c r="D924" s="144"/>
      <c r="E924" s="119"/>
      <c r="F924" s="120"/>
      <c r="G924" s="119"/>
      <c r="H924" s="120"/>
      <c r="I924" s="119"/>
      <c r="J924" s="120"/>
      <c r="K924" s="119"/>
      <c r="L924" s="120"/>
      <c r="M924" s="119"/>
      <c r="N924" s="120"/>
      <c r="O924" s="119"/>
      <c r="P924" s="120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customFormat="false" ht="14.25" hidden="false" customHeight="true" outlineLevel="0" collapsed="false">
      <c r="A925" s="141"/>
      <c r="B925" s="142"/>
      <c r="C925" s="143"/>
      <c r="D925" s="144"/>
      <c r="E925" s="119"/>
      <c r="F925" s="120"/>
      <c r="G925" s="119"/>
      <c r="H925" s="120"/>
      <c r="I925" s="119"/>
      <c r="J925" s="120"/>
      <c r="K925" s="119"/>
      <c r="L925" s="120"/>
      <c r="M925" s="119"/>
      <c r="N925" s="120"/>
      <c r="O925" s="119"/>
      <c r="P925" s="120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customFormat="false" ht="14.25" hidden="false" customHeight="true" outlineLevel="0" collapsed="false">
      <c r="A926" s="141"/>
      <c r="B926" s="142"/>
      <c r="C926" s="143"/>
      <c r="D926" s="144"/>
      <c r="E926" s="119"/>
      <c r="F926" s="120"/>
      <c r="G926" s="119"/>
      <c r="H926" s="120"/>
      <c r="I926" s="119"/>
      <c r="J926" s="120"/>
      <c r="K926" s="119"/>
      <c r="L926" s="120"/>
      <c r="M926" s="119"/>
      <c r="N926" s="120"/>
      <c r="O926" s="119"/>
      <c r="P926" s="120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customFormat="false" ht="14.25" hidden="false" customHeight="true" outlineLevel="0" collapsed="false">
      <c r="A927" s="141"/>
      <c r="B927" s="142"/>
      <c r="C927" s="143"/>
      <c r="D927" s="144"/>
      <c r="E927" s="119"/>
      <c r="F927" s="120"/>
      <c r="G927" s="119"/>
      <c r="H927" s="120"/>
      <c r="I927" s="119"/>
      <c r="J927" s="120"/>
      <c r="K927" s="119"/>
      <c r="L927" s="120"/>
      <c r="M927" s="119"/>
      <c r="N927" s="120"/>
      <c r="O927" s="119"/>
      <c r="P927" s="120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customFormat="false" ht="14.25" hidden="false" customHeight="true" outlineLevel="0" collapsed="false">
      <c r="A928" s="141"/>
      <c r="B928" s="142"/>
      <c r="C928" s="143"/>
      <c r="D928" s="144"/>
      <c r="E928" s="119"/>
      <c r="F928" s="120"/>
      <c r="G928" s="119"/>
      <c r="H928" s="120"/>
      <c r="I928" s="119"/>
      <c r="J928" s="120"/>
      <c r="K928" s="119"/>
      <c r="L928" s="120"/>
      <c r="M928" s="119"/>
      <c r="N928" s="120"/>
      <c r="O928" s="119"/>
      <c r="P928" s="120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customFormat="false" ht="14.25" hidden="false" customHeight="true" outlineLevel="0" collapsed="false">
      <c r="A929" s="141"/>
      <c r="B929" s="142"/>
      <c r="C929" s="143"/>
      <c r="D929" s="144"/>
      <c r="E929" s="119"/>
      <c r="F929" s="120"/>
      <c r="G929" s="119"/>
      <c r="H929" s="120"/>
      <c r="I929" s="119"/>
      <c r="J929" s="120"/>
      <c r="K929" s="119"/>
      <c r="L929" s="120"/>
      <c r="M929" s="119"/>
      <c r="N929" s="120"/>
      <c r="O929" s="119"/>
      <c r="P929" s="120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customFormat="false" ht="14.25" hidden="false" customHeight="true" outlineLevel="0" collapsed="false">
      <c r="A930" s="141"/>
      <c r="B930" s="142"/>
      <c r="C930" s="143"/>
      <c r="D930" s="144"/>
      <c r="E930" s="119"/>
      <c r="F930" s="120"/>
      <c r="G930" s="119"/>
      <c r="H930" s="120"/>
      <c r="I930" s="119"/>
      <c r="J930" s="120"/>
      <c r="K930" s="119"/>
      <c r="L930" s="120"/>
      <c r="M930" s="119"/>
      <c r="N930" s="120"/>
      <c r="O930" s="119"/>
      <c r="P930" s="120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customFormat="false" ht="14.25" hidden="false" customHeight="true" outlineLevel="0" collapsed="false">
      <c r="A931" s="141"/>
      <c r="B931" s="142"/>
      <c r="C931" s="143"/>
      <c r="D931" s="144"/>
      <c r="E931" s="119"/>
      <c r="F931" s="120"/>
      <c r="G931" s="119"/>
      <c r="H931" s="120"/>
      <c r="I931" s="119"/>
      <c r="J931" s="120"/>
      <c r="K931" s="119"/>
      <c r="L931" s="120"/>
      <c r="M931" s="119"/>
      <c r="N931" s="120"/>
      <c r="O931" s="119"/>
      <c r="P931" s="120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customFormat="false" ht="14.25" hidden="false" customHeight="true" outlineLevel="0" collapsed="false">
      <c r="A932" s="141"/>
      <c r="B932" s="142"/>
      <c r="C932" s="143"/>
      <c r="D932" s="144"/>
      <c r="E932" s="119"/>
      <c r="F932" s="120"/>
      <c r="G932" s="119"/>
      <c r="H932" s="120"/>
      <c r="I932" s="119"/>
      <c r="J932" s="120"/>
      <c r="K932" s="119"/>
      <c r="L932" s="120"/>
      <c r="M932" s="119"/>
      <c r="N932" s="120"/>
      <c r="O932" s="119"/>
      <c r="P932" s="120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customFormat="false" ht="14.25" hidden="false" customHeight="true" outlineLevel="0" collapsed="false">
      <c r="A933" s="141"/>
      <c r="B933" s="142"/>
      <c r="C933" s="143"/>
      <c r="D933" s="144"/>
      <c r="E933" s="119"/>
      <c r="F933" s="120"/>
      <c r="G933" s="119"/>
      <c r="H933" s="120"/>
      <c r="I933" s="119"/>
      <c r="J933" s="120"/>
      <c r="K933" s="119"/>
      <c r="L933" s="120"/>
      <c r="M933" s="119"/>
      <c r="N933" s="120"/>
      <c r="O933" s="119"/>
      <c r="P933" s="120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customFormat="false" ht="14.25" hidden="false" customHeight="true" outlineLevel="0" collapsed="false">
      <c r="A934" s="141"/>
      <c r="B934" s="142"/>
      <c r="C934" s="143"/>
      <c r="D934" s="144"/>
      <c r="E934" s="119"/>
      <c r="F934" s="120"/>
      <c r="G934" s="119"/>
      <c r="H934" s="120"/>
      <c r="I934" s="119"/>
      <c r="J934" s="120"/>
      <c r="K934" s="119"/>
      <c r="L934" s="120"/>
      <c r="M934" s="119"/>
      <c r="N934" s="120"/>
      <c r="O934" s="119"/>
      <c r="P934" s="120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customFormat="false" ht="14.25" hidden="false" customHeight="true" outlineLevel="0" collapsed="false">
      <c r="A935" s="141"/>
      <c r="B935" s="142"/>
      <c r="C935" s="143"/>
      <c r="D935" s="144"/>
      <c r="E935" s="119"/>
      <c r="F935" s="120"/>
      <c r="G935" s="119"/>
      <c r="H935" s="120"/>
      <c r="I935" s="119"/>
      <c r="J935" s="120"/>
      <c r="K935" s="119"/>
      <c r="L935" s="120"/>
      <c r="M935" s="119"/>
      <c r="N935" s="120"/>
      <c r="O935" s="119"/>
      <c r="P935" s="120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customFormat="false" ht="14.25" hidden="false" customHeight="true" outlineLevel="0" collapsed="false">
      <c r="A936" s="141"/>
      <c r="B936" s="142"/>
      <c r="C936" s="143"/>
      <c r="D936" s="144"/>
      <c r="E936" s="119"/>
      <c r="F936" s="120"/>
      <c r="G936" s="119"/>
      <c r="H936" s="120"/>
      <c r="I936" s="119"/>
      <c r="J936" s="120"/>
      <c r="K936" s="119"/>
      <c r="L936" s="120"/>
      <c r="M936" s="119"/>
      <c r="N936" s="120"/>
      <c r="O936" s="119"/>
      <c r="P936" s="120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customFormat="false" ht="14.25" hidden="false" customHeight="true" outlineLevel="0" collapsed="false">
      <c r="A937" s="141"/>
      <c r="B937" s="142"/>
      <c r="C937" s="143"/>
      <c r="D937" s="144"/>
      <c r="E937" s="119"/>
      <c r="F937" s="120"/>
      <c r="G937" s="119"/>
      <c r="H937" s="120"/>
      <c r="I937" s="119"/>
      <c r="J937" s="120"/>
      <c r="K937" s="119"/>
      <c r="L937" s="120"/>
      <c r="M937" s="119"/>
      <c r="N937" s="120"/>
      <c r="O937" s="119"/>
      <c r="P937" s="120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customFormat="false" ht="14.25" hidden="false" customHeight="true" outlineLevel="0" collapsed="false">
      <c r="A938" s="141"/>
      <c r="B938" s="142"/>
      <c r="C938" s="143"/>
      <c r="D938" s="144"/>
      <c r="E938" s="119"/>
      <c r="F938" s="120"/>
      <c r="G938" s="119"/>
      <c r="H938" s="120"/>
      <c r="I938" s="119"/>
      <c r="J938" s="120"/>
      <c r="K938" s="119"/>
      <c r="L938" s="120"/>
      <c r="M938" s="119"/>
      <c r="N938" s="120"/>
      <c r="O938" s="119"/>
      <c r="P938" s="120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customFormat="false" ht="14.25" hidden="false" customHeight="true" outlineLevel="0" collapsed="false">
      <c r="A939" s="141"/>
      <c r="B939" s="142"/>
      <c r="C939" s="143"/>
      <c r="D939" s="144"/>
      <c r="E939" s="119"/>
      <c r="F939" s="120"/>
      <c r="G939" s="119"/>
      <c r="H939" s="120"/>
      <c r="I939" s="119"/>
      <c r="J939" s="120"/>
      <c r="K939" s="119"/>
      <c r="L939" s="120"/>
      <c r="M939" s="119"/>
      <c r="N939" s="120"/>
      <c r="O939" s="119"/>
      <c r="P939" s="120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customFormat="false" ht="14.25" hidden="false" customHeight="true" outlineLevel="0" collapsed="false">
      <c r="A940" s="141"/>
      <c r="B940" s="142"/>
      <c r="C940" s="143"/>
      <c r="D940" s="144"/>
      <c r="E940" s="119"/>
      <c r="F940" s="120"/>
      <c r="G940" s="119"/>
      <c r="H940" s="120"/>
      <c r="I940" s="119"/>
      <c r="J940" s="120"/>
      <c r="K940" s="119"/>
      <c r="L940" s="120"/>
      <c r="M940" s="119"/>
      <c r="N940" s="120"/>
      <c r="O940" s="119"/>
      <c r="P940" s="120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customFormat="false" ht="14.25" hidden="false" customHeight="true" outlineLevel="0" collapsed="false">
      <c r="A941" s="141"/>
      <c r="B941" s="142"/>
      <c r="C941" s="143"/>
      <c r="D941" s="144"/>
      <c r="E941" s="119"/>
      <c r="F941" s="120"/>
      <c r="G941" s="119"/>
      <c r="H941" s="120"/>
      <c r="I941" s="119"/>
      <c r="J941" s="120"/>
      <c r="K941" s="119"/>
      <c r="L941" s="120"/>
      <c r="M941" s="119"/>
      <c r="N941" s="120"/>
      <c r="O941" s="119"/>
      <c r="P941" s="120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customFormat="false" ht="14.25" hidden="false" customHeight="true" outlineLevel="0" collapsed="false">
      <c r="A942" s="141"/>
      <c r="B942" s="142"/>
      <c r="C942" s="143"/>
      <c r="D942" s="144"/>
      <c r="E942" s="119"/>
      <c r="F942" s="120"/>
      <c r="G942" s="119"/>
      <c r="H942" s="120"/>
      <c r="I942" s="119"/>
      <c r="J942" s="120"/>
      <c r="K942" s="119"/>
      <c r="L942" s="120"/>
      <c r="M942" s="119"/>
      <c r="N942" s="120"/>
      <c r="O942" s="119"/>
      <c r="P942" s="120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customFormat="false" ht="14.25" hidden="false" customHeight="true" outlineLevel="0" collapsed="false">
      <c r="A943" s="141"/>
      <c r="B943" s="142"/>
      <c r="C943" s="143"/>
      <c r="D943" s="144"/>
      <c r="E943" s="119"/>
      <c r="F943" s="120"/>
      <c r="G943" s="119"/>
      <c r="H943" s="120"/>
      <c r="I943" s="119"/>
      <c r="J943" s="120"/>
      <c r="K943" s="119"/>
      <c r="L943" s="120"/>
      <c r="M943" s="119"/>
      <c r="N943" s="120"/>
      <c r="O943" s="119"/>
      <c r="P943" s="120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customFormat="false" ht="14.25" hidden="false" customHeight="true" outlineLevel="0" collapsed="false">
      <c r="A944" s="141"/>
      <c r="B944" s="142"/>
      <c r="C944" s="143"/>
      <c r="D944" s="144"/>
      <c r="E944" s="119"/>
      <c r="F944" s="120"/>
      <c r="G944" s="119"/>
      <c r="H944" s="120"/>
      <c r="I944" s="119"/>
      <c r="J944" s="120"/>
      <c r="K944" s="119"/>
      <c r="L944" s="120"/>
      <c r="M944" s="119"/>
      <c r="N944" s="120"/>
      <c r="O944" s="119"/>
      <c r="P944" s="120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customFormat="false" ht="14.25" hidden="false" customHeight="true" outlineLevel="0" collapsed="false">
      <c r="A945" s="141"/>
      <c r="B945" s="142"/>
      <c r="C945" s="143"/>
      <c r="D945" s="144"/>
      <c r="E945" s="119"/>
      <c r="F945" s="120"/>
      <c r="G945" s="119"/>
      <c r="H945" s="120"/>
      <c r="I945" s="119"/>
      <c r="J945" s="120"/>
      <c r="K945" s="119"/>
      <c r="L945" s="120"/>
      <c r="M945" s="119"/>
      <c r="N945" s="120"/>
      <c r="O945" s="119"/>
      <c r="P945" s="120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customFormat="false" ht="14.25" hidden="false" customHeight="true" outlineLevel="0" collapsed="false">
      <c r="A946" s="141"/>
      <c r="B946" s="142"/>
      <c r="C946" s="143"/>
      <c r="D946" s="144"/>
      <c r="E946" s="119"/>
      <c r="F946" s="120"/>
      <c r="G946" s="119"/>
      <c r="H946" s="120"/>
      <c r="I946" s="119"/>
      <c r="J946" s="120"/>
      <c r="K946" s="119"/>
      <c r="L946" s="120"/>
      <c r="M946" s="119"/>
      <c r="N946" s="120"/>
      <c r="O946" s="119"/>
      <c r="P946" s="120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customFormat="false" ht="14.25" hidden="false" customHeight="true" outlineLevel="0" collapsed="false">
      <c r="A947" s="141"/>
      <c r="B947" s="142"/>
      <c r="C947" s="143"/>
      <c r="D947" s="144"/>
      <c r="E947" s="119"/>
      <c r="F947" s="120"/>
      <c r="G947" s="119"/>
      <c r="H947" s="120"/>
      <c r="I947" s="119"/>
      <c r="J947" s="120"/>
      <c r="K947" s="119"/>
      <c r="L947" s="120"/>
      <c r="M947" s="119"/>
      <c r="N947" s="120"/>
      <c r="O947" s="119"/>
      <c r="P947" s="120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customFormat="false" ht="14.25" hidden="false" customHeight="true" outlineLevel="0" collapsed="false">
      <c r="A948" s="141"/>
      <c r="B948" s="142"/>
      <c r="C948" s="143"/>
      <c r="D948" s="144"/>
      <c r="E948" s="119"/>
      <c r="F948" s="120"/>
      <c r="G948" s="119"/>
      <c r="H948" s="120"/>
      <c r="I948" s="119"/>
      <c r="J948" s="120"/>
      <c r="K948" s="119"/>
      <c r="L948" s="120"/>
      <c r="M948" s="119"/>
      <c r="N948" s="120"/>
      <c r="O948" s="119"/>
      <c r="P948" s="120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customFormat="false" ht="14.25" hidden="false" customHeight="true" outlineLevel="0" collapsed="false">
      <c r="A949" s="141"/>
      <c r="B949" s="142"/>
      <c r="C949" s="143"/>
      <c r="D949" s="144"/>
      <c r="E949" s="119"/>
      <c r="F949" s="120"/>
      <c r="G949" s="119"/>
      <c r="H949" s="120"/>
      <c r="I949" s="119"/>
      <c r="J949" s="120"/>
      <c r="K949" s="119"/>
      <c r="L949" s="120"/>
      <c r="M949" s="119"/>
      <c r="N949" s="120"/>
      <c r="O949" s="119"/>
      <c r="P949" s="120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customFormat="false" ht="14.25" hidden="false" customHeight="true" outlineLevel="0" collapsed="false">
      <c r="A950" s="141"/>
      <c r="B950" s="142"/>
      <c r="C950" s="143"/>
      <c r="D950" s="144"/>
      <c r="E950" s="119"/>
      <c r="F950" s="120"/>
      <c r="G950" s="119"/>
      <c r="H950" s="120"/>
      <c r="I950" s="119"/>
      <c r="J950" s="120"/>
      <c r="K950" s="119"/>
      <c r="L950" s="120"/>
      <c r="M950" s="119"/>
      <c r="N950" s="120"/>
      <c r="O950" s="119"/>
      <c r="P950" s="120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customFormat="false" ht="14.25" hidden="false" customHeight="true" outlineLevel="0" collapsed="false">
      <c r="A951" s="141"/>
      <c r="B951" s="142"/>
      <c r="C951" s="143"/>
      <c r="D951" s="144"/>
      <c r="E951" s="119"/>
      <c r="F951" s="120"/>
      <c r="G951" s="119"/>
      <c r="H951" s="120"/>
      <c r="I951" s="119"/>
      <c r="J951" s="120"/>
      <c r="K951" s="119"/>
      <c r="L951" s="120"/>
      <c r="M951" s="119"/>
      <c r="N951" s="120"/>
      <c r="O951" s="119"/>
      <c r="P951" s="120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customFormat="false" ht="14.25" hidden="false" customHeight="true" outlineLevel="0" collapsed="false">
      <c r="A952" s="141"/>
      <c r="B952" s="142"/>
      <c r="C952" s="143"/>
      <c r="D952" s="144"/>
      <c r="E952" s="119"/>
      <c r="F952" s="120"/>
      <c r="G952" s="119"/>
      <c r="H952" s="120"/>
      <c r="I952" s="119"/>
      <c r="J952" s="120"/>
      <c r="K952" s="119"/>
      <c r="L952" s="120"/>
      <c r="M952" s="119"/>
      <c r="N952" s="120"/>
      <c r="O952" s="119"/>
      <c r="P952" s="120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customFormat="false" ht="14.25" hidden="false" customHeight="true" outlineLevel="0" collapsed="false">
      <c r="A953" s="141"/>
      <c r="B953" s="142"/>
      <c r="C953" s="143"/>
      <c r="D953" s="144"/>
      <c r="E953" s="119"/>
      <c r="F953" s="120"/>
      <c r="G953" s="119"/>
      <c r="H953" s="120"/>
      <c r="I953" s="119"/>
      <c r="J953" s="120"/>
      <c r="K953" s="119"/>
      <c r="L953" s="120"/>
      <c r="M953" s="119"/>
      <c r="N953" s="120"/>
      <c r="O953" s="119"/>
      <c r="P953" s="120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customFormat="false" ht="14.25" hidden="false" customHeight="true" outlineLevel="0" collapsed="false">
      <c r="A954" s="141"/>
      <c r="B954" s="142"/>
      <c r="C954" s="143"/>
      <c r="D954" s="144"/>
      <c r="E954" s="119"/>
      <c r="F954" s="120"/>
      <c r="G954" s="119"/>
      <c r="H954" s="120"/>
      <c r="I954" s="119"/>
      <c r="J954" s="120"/>
      <c r="K954" s="119"/>
      <c r="L954" s="120"/>
      <c r="M954" s="119"/>
      <c r="N954" s="120"/>
      <c r="O954" s="119"/>
      <c r="P954" s="120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customFormat="false" ht="14.25" hidden="false" customHeight="true" outlineLevel="0" collapsed="false">
      <c r="A955" s="141"/>
      <c r="B955" s="142"/>
      <c r="C955" s="143"/>
      <c r="D955" s="144"/>
      <c r="E955" s="119"/>
      <c r="F955" s="120"/>
      <c r="G955" s="119"/>
      <c r="H955" s="120"/>
      <c r="I955" s="119"/>
      <c r="J955" s="120"/>
      <c r="K955" s="119"/>
      <c r="L955" s="120"/>
      <c r="M955" s="119"/>
      <c r="N955" s="120"/>
      <c r="O955" s="119"/>
      <c r="P955" s="120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customFormat="false" ht="14.25" hidden="false" customHeight="true" outlineLevel="0" collapsed="false">
      <c r="A956" s="141"/>
      <c r="B956" s="142"/>
      <c r="C956" s="143"/>
      <c r="D956" s="144"/>
      <c r="E956" s="119"/>
      <c r="F956" s="120"/>
      <c r="G956" s="119"/>
      <c r="H956" s="120"/>
      <c r="I956" s="119"/>
      <c r="J956" s="120"/>
      <c r="K956" s="119"/>
      <c r="L956" s="120"/>
      <c r="M956" s="119"/>
      <c r="N956" s="120"/>
      <c r="O956" s="119"/>
      <c r="P956" s="120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customFormat="false" ht="14.25" hidden="false" customHeight="true" outlineLevel="0" collapsed="false">
      <c r="A957" s="141"/>
      <c r="B957" s="142"/>
      <c r="C957" s="143"/>
      <c r="D957" s="144"/>
      <c r="E957" s="119"/>
      <c r="F957" s="120"/>
      <c r="G957" s="119"/>
      <c r="H957" s="120"/>
      <c r="I957" s="119"/>
      <c r="J957" s="120"/>
      <c r="K957" s="119"/>
      <c r="L957" s="120"/>
      <c r="M957" s="119"/>
      <c r="N957" s="120"/>
      <c r="O957" s="119"/>
      <c r="P957" s="120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customFormat="false" ht="14.25" hidden="false" customHeight="true" outlineLevel="0" collapsed="false">
      <c r="A958" s="141"/>
      <c r="B958" s="142"/>
      <c r="C958" s="143"/>
      <c r="D958" s="144"/>
      <c r="E958" s="119"/>
      <c r="F958" s="120"/>
      <c r="G958" s="119"/>
      <c r="H958" s="120"/>
      <c r="I958" s="119"/>
      <c r="J958" s="120"/>
      <c r="K958" s="119"/>
      <c r="L958" s="120"/>
      <c r="M958" s="119"/>
      <c r="N958" s="120"/>
      <c r="O958" s="119"/>
      <c r="P958" s="120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customFormat="false" ht="14.25" hidden="false" customHeight="true" outlineLevel="0" collapsed="false">
      <c r="A959" s="141"/>
      <c r="B959" s="142"/>
      <c r="C959" s="143"/>
      <c r="D959" s="144"/>
      <c r="E959" s="119"/>
      <c r="F959" s="120"/>
      <c r="G959" s="119"/>
      <c r="H959" s="120"/>
      <c r="I959" s="119"/>
      <c r="J959" s="120"/>
      <c r="K959" s="119"/>
      <c r="L959" s="120"/>
      <c r="M959" s="119"/>
      <c r="N959" s="120"/>
      <c r="O959" s="119"/>
      <c r="P959" s="120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customFormat="false" ht="14.25" hidden="false" customHeight="true" outlineLevel="0" collapsed="false">
      <c r="A960" s="141"/>
      <c r="B960" s="142"/>
      <c r="C960" s="143"/>
      <c r="D960" s="144"/>
      <c r="E960" s="119"/>
      <c r="F960" s="120"/>
      <c r="G960" s="119"/>
      <c r="H960" s="120"/>
      <c r="I960" s="119"/>
      <c r="J960" s="120"/>
      <c r="K960" s="119"/>
      <c r="L960" s="120"/>
      <c r="M960" s="119"/>
      <c r="N960" s="120"/>
      <c r="O960" s="119"/>
      <c r="P960" s="120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customFormat="false" ht="14.25" hidden="false" customHeight="true" outlineLevel="0" collapsed="false">
      <c r="A961" s="141"/>
      <c r="B961" s="142"/>
      <c r="C961" s="143"/>
      <c r="D961" s="144"/>
      <c r="E961" s="119"/>
      <c r="F961" s="120"/>
      <c r="G961" s="119"/>
      <c r="H961" s="120"/>
      <c r="I961" s="119"/>
      <c r="J961" s="120"/>
      <c r="K961" s="119"/>
      <c r="L961" s="120"/>
      <c r="M961" s="119"/>
      <c r="N961" s="120"/>
      <c r="O961" s="119"/>
      <c r="P961" s="120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customFormat="false" ht="14.25" hidden="false" customHeight="true" outlineLevel="0" collapsed="false">
      <c r="A962" s="141"/>
      <c r="B962" s="142"/>
      <c r="C962" s="143"/>
      <c r="D962" s="144"/>
      <c r="E962" s="119"/>
      <c r="F962" s="120"/>
      <c r="G962" s="119"/>
      <c r="H962" s="120"/>
      <c r="I962" s="119"/>
      <c r="J962" s="120"/>
      <c r="K962" s="119"/>
      <c r="L962" s="120"/>
      <c r="M962" s="119"/>
      <c r="N962" s="120"/>
      <c r="O962" s="119"/>
      <c r="P962" s="120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customFormat="false" ht="14.25" hidden="false" customHeight="true" outlineLevel="0" collapsed="false">
      <c r="A963" s="141"/>
      <c r="B963" s="142"/>
      <c r="C963" s="143"/>
      <c r="D963" s="144"/>
      <c r="E963" s="119"/>
      <c r="F963" s="120"/>
      <c r="G963" s="119"/>
      <c r="H963" s="120"/>
      <c r="I963" s="119"/>
      <c r="J963" s="120"/>
      <c r="K963" s="119"/>
      <c r="L963" s="120"/>
      <c r="M963" s="119"/>
      <c r="N963" s="120"/>
      <c r="O963" s="119"/>
      <c r="P963" s="120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customFormat="false" ht="14.25" hidden="false" customHeight="true" outlineLevel="0" collapsed="false">
      <c r="A964" s="141"/>
      <c r="B964" s="142"/>
      <c r="C964" s="143"/>
      <c r="D964" s="144"/>
      <c r="E964" s="119"/>
      <c r="F964" s="120"/>
      <c r="G964" s="119"/>
      <c r="H964" s="120"/>
      <c r="I964" s="119"/>
      <c r="J964" s="120"/>
      <c r="K964" s="119"/>
      <c r="L964" s="120"/>
      <c r="M964" s="119"/>
      <c r="N964" s="120"/>
      <c r="O964" s="119"/>
      <c r="P964" s="120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customFormat="false" ht="14.25" hidden="false" customHeight="true" outlineLevel="0" collapsed="false">
      <c r="A965" s="141"/>
      <c r="B965" s="142"/>
      <c r="C965" s="143"/>
      <c r="D965" s="144"/>
      <c r="E965" s="119"/>
      <c r="F965" s="120"/>
      <c r="G965" s="119"/>
      <c r="H965" s="120"/>
      <c r="I965" s="119"/>
      <c r="J965" s="120"/>
      <c r="K965" s="119"/>
      <c r="L965" s="120"/>
      <c r="M965" s="119"/>
      <c r="N965" s="120"/>
      <c r="O965" s="119"/>
      <c r="P965" s="120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customFormat="false" ht="14.25" hidden="false" customHeight="true" outlineLevel="0" collapsed="false">
      <c r="A966" s="141"/>
      <c r="B966" s="142"/>
      <c r="C966" s="143"/>
      <c r="D966" s="144"/>
      <c r="E966" s="119"/>
      <c r="F966" s="120"/>
      <c r="G966" s="119"/>
      <c r="H966" s="120"/>
      <c r="I966" s="119"/>
      <c r="J966" s="120"/>
      <c r="K966" s="119"/>
      <c r="L966" s="120"/>
      <c r="M966" s="119"/>
      <c r="N966" s="120"/>
      <c r="O966" s="119"/>
      <c r="P966" s="120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customFormat="false" ht="14.25" hidden="false" customHeight="true" outlineLevel="0" collapsed="false">
      <c r="A967" s="141"/>
      <c r="B967" s="142"/>
      <c r="C967" s="143"/>
      <c r="D967" s="144"/>
      <c r="E967" s="119"/>
      <c r="F967" s="120"/>
      <c r="G967" s="119"/>
      <c r="H967" s="120"/>
      <c r="I967" s="119"/>
      <c r="J967" s="120"/>
      <c r="K967" s="119"/>
      <c r="L967" s="120"/>
      <c r="M967" s="119"/>
      <c r="N967" s="120"/>
      <c r="O967" s="119"/>
      <c r="P967" s="120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customFormat="false" ht="14.25" hidden="false" customHeight="true" outlineLevel="0" collapsed="false">
      <c r="A968" s="141"/>
      <c r="B968" s="142"/>
      <c r="C968" s="143"/>
      <c r="D968" s="144"/>
      <c r="E968" s="119"/>
      <c r="F968" s="120"/>
      <c r="G968" s="119"/>
      <c r="H968" s="120"/>
      <c r="I968" s="119"/>
      <c r="J968" s="120"/>
      <c r="K968" s="119"/>
      <c r="L968" s="120"/>
      <c r="M968" s="119"/>
      <c r="N968" s="120"/>
      <c r="O968" s="119"/>
      <c r="P968" s="120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customFormat="false" ht="14.25" hidden="false" customHeight="true" outlineLevel="0" collapsed="false">
      <c r="A969" s="141"/>
      <c r="B969" s="142"/>
      <c r="C969" s="143"/>
      <c r="D969" s="144"/>
      <c r="E969" s="119"/>
      <c r="F969" s="120"/>
      <c r="G969" s="119"/>
      <c r="H969" s="120"/>
      <c r="I969" s="119"/>
      <c r="J969" s="120"/>
      <c r="K969" s="119"/>
      <c r="L969" s="120"/>
      <c r="M969" s="119"/>
      <c r="N969" s="120"/>
      <c r="O969" s="119"/>
      <c r="P969" s="120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customFormat="false" ht="14.25" hidden="false" customHeight="true" outlineLevel="0" collapsed="false">
      <c r="A970" s="141"/>
      <c r="B970" s="142"/>
      <c r="C970" s="143"/>
      <c r="D970" s="144"/>
      <c r="E970" s="119"/>
      <c r="F970" s="120"/>
      <c r="G970" s="119"/>
      <c r="H970" s="120"/>
      <c r="I970" s="119"/>
      <c r="J970" s="120"/>
      <c r="K970" s="119"/>
      <c r="L970" s="120"/>
      <c r="M970" s="119"/>
      <c r="N970" s="120"/>
      <c r="O970" s="119"/>
      <c r="P970" s="120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customFormat="false" ht="14.25" hidden="false" customHeight="true" outlineLevel="0" collapsed="false">
      <c r="A971" s="141"/>
      <c r="B971" s="142"/>
      <c r="C971" s="143"/>
      <c r="D971" s="144"/>
      <c r="E971" s="119"/>
      <c r="F971" s="120"/>
      <c r="G971" s="119"/>
      <c r="H971" s="120"/>
      <c r="I971" s="119"/>
      <c r="J971" s="120"/>
      <c r="K971" s="119"/>
      <c r="L971" s="120"/>
      <c r="M971" s="119"/>
      <c r="N971" s="120"/>
      <c r="O971" s="119"/>
      <c r="P971" s="120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customFormat="false" ht="14.25" hidden="false" customHeight="true" outlineLevel="0" collapsed="false">
      <c r="A972" s="141"/>
      <c r="B972" s="142"/>
      <c r="C972" s="143"/>
      <c r="D972" s="144"/>
      <c r="E972" s="119"/>
      <c r="F972" s="120"/>
      <c r="G972" s="119"/>
      <c r="H972" s="120"/>
      <c r="I972" s="119"/>
      <c r="J972" s="120"/>
      <c r="K972" s="119"/>
      <c r="L972" s="120"/>
      <c r="M972" s="119"/>
      <c r="N972" s="120"/>
      <c r="O972" s="119"/>
      <c r="P972" s="120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customFormat="false" ht="14.25" hidden="false" customHeight="true" outlineLevel="0" collapsed="false">
      <c r="A973" s="141"/>
      <c r="B973" s="142"/>
      <c r="C973" s="143"/>
      <c r="D973" s="144"/>
      <c r="E973" s="119"/>
      <c r="F973" s="120"/>
      <c r="G973" s="119"/>
      <c r="H973" s="120"/>
      <c r="I973" s="119"/>
      <c r="J973" s="120"/>
      <c r="K973" s="119"/>
      <c r="L973" s="120"/>
      <c r="M973" s="119"/>
      <c r="N973" s="120"/>
      <c r="O973" s="119"/>
      <c r="P973" s="120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customFormat="false" ht="14.25" hidden="false" customHeight="true" outlineLevel="0" collapsed="false">
      <c r="A974" s="141"/>
      <c r="B974" s="142"/>
      <c r="C974" s="143"/>
      <c r="D974" s="144"/>
      <c r="E974" s="119"/>
      <c r="F974" s="120"/>
      <c r="G974" s="119"/>
      <c r="H974" s="120"/>
      <c r="I974" s="119"/>
      <c r="J974" s="120"/>
      <c r="K974" s="119"/>
      <c r="L974" s="120"/>
      <c r="M974" s="119"/>
      <c r="N974" s="120"/>
      <c r="O974" s="119"/>
      <c r="P974" s="120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customFormat="false" ht="14.25" hidden="false" customHeight="true" outlineLevel="0" collapsed="false">
      <c r="A975" s="141"/>
      <c r="B975" s="142"/>
      <c r="C975" s="143"/>
      <c r="D975" s="144"/>
      <c r="E975" s="119"/>
      <c r="F975" s="120"/>
      <c r="G975" s="119"/>
      <c r="H975" s="120"/>
      <c r="I975" s="119"/>
      <c r="J975" s="120"/>
      <c r="K975" s="119"/>
      <c r="L975" s="120"/>
      <c r="M975" s="119"/>
      <c r="N975" s="120"/>
      <c r="O975" s="119"/>
      <c r="P975" s="120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customFormat="false" ht="14.25" hidden="false" customHeight="true" outlineLevel="0" collapsed="false">
      <c r="A976" s="141"/>
      <c r="B976" s="142"/>
      <c r="C976" s="143"/>
      <c r="D976" s="144"/>
      <c r="E976" s="119"/>
      <c r="F976" s="120"/>
      <c r="G976" s="119"/>
      <c r="H976" s="120"/>
      <c r="I976" s="119"/>
      <c r="J976" s="120"/>
      <c r="K976" s="119"/>
      <c r="L976" s="120"/>
      <c r="M976" s="119"/>
      <c r="N976" s="120"/>
      <c r="O976" s="119"/>
      <c r="P976" s="120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customFormat="false" ht="14.25" hidden="false" customHeight="true" outlineLevel="0" collapsed="false">
      <c r="A977" s="141"/>
      <c r="B977" s="142"/>
      <c r="C977" s="143"/>
      <c r="D977" s="144"/>
      <c r="E977" s="119"/>
      <c r="F977" s="120"/>
      <c r="G977" s="119"/>
      <c r="H977" s="120"/>
      <c r="I977" s="119"/>
      <c r="J977" s="120"/>
      <c r="K977" s="119"/>
      <c r="L977" s="120"/>
      <c r="M977" s="119"/>
      <c r="N977" s="120"/>
      <c r="O977" s="119"/>
      <c r="P977" s="120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customFormat="false" ht="14.25" hidden="false" customHeight="true" outlineLevel="0" collapsed="false">
      <c r="A978" s="141"/>
      <c r="B978" s="142"/>
      <c r="C978" s="143"/>
      <c r="D978" s="144"/>
      <c r="E978" s="119"/>
      <c r="F978" s="120"/>
      <c r="G978" s="119"/>
      <c r="H978" s="120"/>
      <c r="I978" s="119"/>
      <c r="J978" s="120"/>
      <c r="K978" s="119"/>
      <c r="L978" s="120"/>
      <c r="M978" s="119"/>
      <c r="N978" s="120"/>
      <c r="O978" s="119"/>
      <c r="P978" s="120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customFormat="false" ht="14.25" hidden="false" customHeight="true" outlineLevel="0" collapsed="false">
      <c r="A979" s="141"/>
      <c r="B979" s="142"/>
      <c r="C979" s="143"/>
      <c r="D979" s="144"/>
      <c r="E979" s="119"/>
      <c r="F979" s="120"/>
      <c r="G979" s="119"/>
      <c r="H979" s="120"/>
      <c r="I979" s="119"/>
      <c r="J979" s="120"/>
      <c r="K979" s="119"/>
      <c r="L979" s="120"/>
      <c r="M979" s="119"/>
      <c r="N979" s="120"/>
      <c r="O979" s="119"/>
      <c r="P979" s="120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customFormat="false" ht="14.25" hidden="false" customHeight="true" outlineLevel="0" collapsed="false">
      <c r="A980" s="141"/>
      <c r="B980" s="142"/>
      <c r="C980" s="143"/>
      <c r="D980" s="144"/>
      <c r="E980" s="119"/>
      <c r="F980" s="120"/>
      <c r="G980" s="119"/>
      <c r="H980" s="120"/>
      <c r="I980" s="119"/>
      <c r="J980" s="120"/>
      <c r="K980" s="119"/>
      <c r="L980" s="120"/>
      <c r="M980" s="119"/>
      <c r="N980" s="120"/>
      <c r="O980" s="119"/>
      <c r="P980" s="120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customFormat="false" ht="14.25" hidden="false" customHeight="true" outlineLevel="0" collapsed="false">
      <c r="A981" s="141"/>
      <c r="B981" s="142"/>
      <c r="C981" s="143"/>
      <c r="D981" s="144"/>
      <c r="E981" s="119"/>
      <c r="F981" s="120"/>
      <c r="G981" s="119"/>
      <c r="H981" s="120"/>
      <c r="I981" s="119"/>
      <c r="J981" s="120"/>
      <c r="K981" s="119"/>
      <c r="L981" s="120"/>
      <c r="M981" s="119"/>
      <c r="N981" s="120"/>
      <c r="O981" s="119"/>
      <c r="P981" s="120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customFormat="false" ht="14.25" hidden="false" customHeight="true" outlineLevel="0" collapsed="false">
      <c r="A982" s="141"/>
      <c r="B982" s="142"/>
      <c r="C982" s="143"/>
      <c r="D982" s="144"/>
      <c r="E982" s="119"/>
      <c r="F982" s="120"/>
      <c r="G982" s="119"/>
      <c r="H982" s="120"/>
      <c r="I982" s="119"/>
      <c r="J982" s="120"/>
      <c r="K982" s="119"/>
      <c r="L982" s="120"/>
      <c r="M982" s="119"/>
      <c r="N982" s="120"/>
      <c r="O982" s="119"/>
      <c r="P982" s="120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customFormat="false" ht="14.25" hidden="false" customHeight="true" outlineLevel="0" collapsed="false">
      <c r="A983" s="141"/>
      <c r="B983" s="142"/>
      <c r="C983" s="143"/>
      <c r="D983" s="144"/>
      <c r="E983" s="119"/>
      <c r="F983" s="120"/>
      <c r="G983" s="119"/>
      <c r="H983" s="120"/>
      <c r="I983" s="119"/>
      <c r="J983" s="120"/>
      <c r="K983" s="119"/>
      <c r="L983" s="120"/>
      <c r="M983" s="119"/>
      <c r="N983" s="120"/>
      <c r="O983" s="119"/>
      <c r="P983" s="120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customFormat="false" ht="14.25" hidden="false" customHeight="true" outlineLevel="0" collapsed="false">
      <c r="A984" s="141"/>
      <c r="B984" s="142"/>
      <c r="C984" s="143"/>
      <c r="D984" s="144"/>
      <c r="E984" s="119"/>
      <c r="F984" s="120"/>
      <c r="G984" s="119"/>
      <c r="H984" s="120"/>
      <c r="I984" s="119"/>
      <c r="J984" s="120"/>
      <c r="K984" s="119"/>
      <c r="L984" s="120"/>
      <c r="M984" s="119"/>
      <c r="N984" s="120"/>
      <c r="O984" s="119"/>
      <c r="P984" s="120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customFormat="false" ht="14.25" hidden="false" customHeight="true" outlineLevel="0" collapsed="false">
      <c r="A985" s="141"/>
      <c r="B985" s="142"/>
      <c r="C985" s="143"/>
      <c r="D985" s="144"/>
      <c r="E985" s="119"/>
      <c r="F985" s="120"/>
      <c r="G985" s="119"/>
      <c r="H985" s="120"/>
      <c r="I985" s="119"/>
      <c r="J985" s="120"/>
      <c r="K985" s="119"/>
      <c r="L985" s="120"/>
      <c r="M985" s="119"/>
      <c r="N985" s="120"/>
      <c r="O985" s="119"/>
      <c r="P985" s="120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customFormat="false" ht="14.25" hidden="false" customHeight="true" outlineLevel="0" collapsed="false">
      <c r="A986" s="141"/>
      <c r="B986" s="142"/>
      <c r="C986" s="143"/>
      <c r="D986" s="144"/>
      <c r="E986" s="119"/>
      <c r="F986" s="120"/>
      <c r="G986" s="119"/>
      <c r="H986" s="120"/>
      <c r="I986" s="119"/>
      <c r="J986" s="120"/>
      <c r="K986" s="119"/>
      <c r="L986" s="120"/>
      <c r="M986" s="119"/>
      <c r="N986" s="120"/>
      <c r="O986" s="119"/>
      <c r="P986" s="120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customFormat="false" ht="14.25" hidden="false" customHeight="true" outlineLevel="0" collapsed="false">
      <c r="A987" s="141"/>
      <c r="B987" s="142"/>
      <c r="C987" s="143"/>
      <c r="D987" s="144"/>
      <c r="E987" s="119"/>
      <c r="F987" s="120"/>
      <c r="G987" s="119"/>
      <c r="H987" s="120"/>
      <c r="I987" s="119"/>
      <c r="J987" s="120"/>
      <c r="K987" s="119"/>
      <c r="L987" s="120"/>
      <c r="M987" s="119"/>
      <c r="N987" s="120"/>
      <c r="O987" s="119"/>
      <c r="P987" s="120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customFormat="false" ht="14.25" hidden="false" customHeight="true" outlineLevel="0" collapsed="false">
      <c r="A988" s="141"/>
      <c r="B988" s="142"/>
      <c r="C988" s="143"/>
      <c r="D988" s="144"/>
      <c r="E988" s="119"/>
      <c r="F988" s="120"/>
      <c r="G988" s="119"/>
      <c r="H988" s="120"/>
      <c r="I988" s="119"/>
      <c r="J988" s="120"/>
      <c r="K988" s="119"/>
      <c r="L988" s="120"/>
      <c r="M988" s="119"/>
      <c r="N988" s="120"/>
      <c r="O988" s="119"/>
      <c r="P988" s="120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customFormat="false" ht="14.25" hidden="false" customHeight="true" outlineLevel="0" collapsed="false">
      <c r="A989" s="141"/>
      <c r="B989" s="142"/>
      <c r="C989" s="143"/>
      <c r="D989" s="144"/>
      <c r="E989" s="119"/>
      <c r="F989" s="120"/>
      <c r="G989" s="119"/>
      <c r="H989" s="120"/>
      <c r="I989" s="119"/>
      <c r="J989" s="120"/>
      <c r="K989" s="119"/>
      <c r="L989" s="120"/>
      <c r="M989" s="119"/>
      <c r="N989" s="120"/>
      <c r="O989" s="119"/>
      <c r="P989" s="120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customFormat="false" ht="14.25" hidden="false" customHeight="true" outlineLevel="0" collapsed="false">
      <c r="A990" s="141"/>
      <c r="B990" s="142"/>
      <c r="C990" s="143"/>
      <c r="D990" s="144"/>
      <c r="E990" s="119"/>
      <c r="F990" s="120"/>
      <c r="G990" s="119"/>
      <c r="H990" s="120"/>
      <c r="I990" s="119"/>
      <c r="J990" s="120"/>
      <c r="K990" s="119"/>
      <c r="L990" s="120"/>
      <c r="M990" s="119"/>
      <c r="N990" s="120"/>
      <c r="O990" s="119"/>
      <c r="P990" s="120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customFormat="false" ht="14.25" hidden="false" customHeight="true" outlineLevel="0" collapsed="false">
      <c r="A991" s="141"/>
      <c r="B991" s="142"/>
      <c r="C991" s="143"/>
      <c r="D991" s="144"/>
      <c r="E991" s="119"/>
      <c r="F991" s="120"/>
      <c r="G991" s="119"/>
      <c r="H991" s="120"/>
      <c r="I991" s="119"/>
      <c r="J991" s="120"/>
      <c r="K991" s="119"/>
      <c r="L991" s="120"/>
      <c r="M991" s="119"/>
      <c r="N991" s="120"/>
      <c r="O991" s="119"/>
      <c r="P991" s="120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customFormat="false" ht="14.25" hidden="false" customHeight="true" outlineLevel="0" collapsed="false">
      <c r="A992" s="141"/>
      <c r="B992" s="142"/>
      <c r="C992" s="143"/>
      <c r="D992" s="144"/>
      <c r="E992" s="119"/>
      <c r="F992" s="120"/>
      <c r="G992" s="119"/>
      <c r="H992" s="120"/>
      <c r="I992" s="119"/>
      <c r="J992" s="120"/>
      <c r="K992" s="119"/>
      <c r="L992" s="120"/>
      <c r="M992" s="119"/>
      <c r="N992" s="120"/>
      <c r="O992" s="119"/>
      <c r="P992" s="120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customFormat="false" ht="14.25" hidden="false" customHeight="true" outlineLevel="0" collapsed="false">
      <c r="A993" s="141"/>
      <c r="B993" s="142"/>
      <c r="C993" s="143"/>
      <c r="D993" s="144"/>
      <c r="E993" s="119"/>
      <c r="F993" s="120"/>
      <c r="G993" s="119"/>
      <c r="H993" s="120"/>
      <c r="I993" s="119"/>
      <c r="J993" s="120"/>
      <c r="K993" s="119"/>
      <c r="L993" s="120"/>
      <c r="M993" s="119"/>
      <c r="N993" s="120"/>
      <c r="O993" s="119"/>
      <c r="P993" s="120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customFormat="false" ht="14.25" hidden="false" customHeight="true" outlineLevel="0" collapsed="false">
      <c r="A994" s="141"/>
      <c r="B994" s="142"/>
      <c r="C994" s="143"/>
      <c r="D994" s="144"/>
      <c r="E994" s="119"/>
      <c r="F994" s="120"/>
      <c r="G994" s="119"/>
      <c r="H994" s="120"/>
      <c r="I994" s="119"/>
      <c r="J994" s="120"/>
      <c r="K994" s="119"/>
      <c r="L994" s="120"/>
      <c r="M994" s="119"/>
      <c r="N994" s="120"/>
      <c r="O994" s="119"/>
      <c r="P994" s="120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customFormat="false" ht="14.25" hidden="false" customHeight="true" outlineLevel="0" collapsed="false">
      <c r="A995" s="141"/>
      <c r="B995" s="142"/>
      <c r="C995" s="143"/>
      <c r="D995" s="144"/>
      <c r="E995" s="119"/>
      <c r="F995" s="120"/>
      <c r="G995" s="119"/>
      <c r="H995" s="120"/>
      <c r="I995" s="119"/>
      <c r="J995" s="120"/>
      <c r="K995" s="119"/>
      <c r="L995" s="120"/>
      <c r="M995" s="119"/>
      <c r="N995" s="120"/>
      <c r="O995" s="119"/>
      <c r="P995" s="120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customFormat="false" ht="14.25" hidden="false" customHeight="true" outlineLevel="0" collapsed="false">
      <c r="A996" s="141"/>
      <c r="B996" s="142"/>
      <c r="C996" s="143"/>
      <c r="D996" s="144"/>
      <c r="E996" s="119"/>
      <c r="F996" s="120"/>
      <c r="G996" s="119"/>
      <c r="H996" s="120"/>
      <c r="I996" s="119"/>
      <c r="J996" s="120"/>
      <c r="K996" s="119"/>
      <c r="L996" s="120"/>
      <c r="M996" s="119"/>
      <c r="N996" s="120"/>
      <c r="O996" s="119"/>
      <c r="P996" s="120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customFormat="false" ht="14.25" hidden="false" customHeight="true" outlineLevel="0" collapsed="false">
      <c r="A997" s="141"/>
      <c r="B997" s="142"/>
      <c r="C997" s="143"/>
      <c r="D997" s="144"/>
      <c r="E997" s="119"/>
      <c r="F997" s="120"/>
      <c r="G997" s="119"/>
      <c r="H997" s="120"/>
      <c r="I997" s="119"/>
      <c r="J997" s="120"/>
      <c r="K997" s="119"/>
      <c r="L997" s="120"/>
      <c r="M997" s="119"/>
      <c r="N997" s="120"/>
      <c r="O997" s="119"/>
      <c r="P997" s="120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customFormat="false" ht="14.25" hidden="false" customHeight="true" outlineLevel="0" collapsed="false">
      <c r="A998" s="141"/>
      <c r="B998" s="142"/>
      <c r="C998" s="143"/>
      <c r="D998" s="144"/>
      <c r="E998" s="119"/>
      <c r="F998" s="120"/>
      <c r="G998" s="119"/>
      <c r="H998" s="120"/>
      <c r="I998" s="119"/>
      <c r="J998" s="120"/>
      <c r="K998" s="119"/>
      <c r="L998" s="120"/>
      <c r="M998" s="119"/>
      <c r="N998" s="120"/>
      <c r="O998" s="119"/>
      <c r="P998" s="120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customFormat="false" ht="14.25" hidden="false" customHeight="true" outlineLevel="0" collapsed="false">
      <c r="A999" s="141"/>
      <c r="B999" s="142"/>
      <c r="C999" s="143"/>
      <c r="D999" s="144"/>
      <c r="E999" s="119"/>
      <c r="F999" s="120"/>
      <c r="G999" s="119"/>
      <c r="H999" s="120"/>
      <c r="I999" s="119"/>
      <c r="J999" s="120"/>
      <c r="K999" s="119"/>
      <c r="L999" s="120"/>
      <c r="M999" s="119"/>
      <c r="N999" s="120"/>
      <c r="O999" s="119"/>
      <c r="P999" s="120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customFormat="false" ht="14.25" hidden="false" customHeight="true" outlineLevel="0" collapsed="false">
      <c r="A1000" s="141"/>
      <c r="B1000" s="142"/>
      <c r="C1000" s="143"/>
      <c r="D1000" s="144"/>
      <c r="E1000" s="119"/>
      <c r="F1000" s="120"/>
      <c r="G1000" s="119"/>
      <c r="H1000" s="120"/>
      <c r="I1000" s="119"/>
      <c r="J1000" s="120"/>
      <c r="K1000" s="119"/>
      <c r="L1000" s="120"/>
      <c r="M1000" s="119"/>
      <c r="N1000" s="120"/>
      <c r="O1000" s="119"/>
      <c r="P1000" s="120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4">
    <mergeCell ref="A9:A10"/>
    <mergeCell ref="B9:B10"/>
    <mergeCell ref="C9:C10"/>
    <mergeCell ref="D9:D10"/>
    <mergeCell ref="E9:F9"/>
    <mergeCell ref="G9:H9"/>
    <mergeCell ref="I9:J9"/>
    <mergeCell ref="K9:L9"/>
    <mergeCell ref="M9:N9"/>
    <mergeCell ref="O9:P9"/>
    <mergeCell ref="A22:B22"/>
    <mergeCell ref="C22:C23"/>
    <mergeCell ref="D22:D23"/>
    <mergeCell ref="A23:B23"/>
  </mergeCells>
  <conditionalFormatting sqref="E12:E20 G12:G20 I12:I20 K12:K20 M12:M20 O12">
    <cfRule type="expression" priority="2" aboveAverage="0" equalAverage="0" bottom="0" percent="0" rank="0" text="" dxfId="0">
      <formula>AND(E12&gt;0, E12&lt;=100%)</formula>
    </cfRule>
  </conditionalFormatting>
  <conditionalFormatting sqref="E12:E20 G12:G20 I12:I20 K12:K20 M12:M20 O12">
    <cfRule type="expression" priority="3" aboveAverage="0" equalAverage="0" bottom="0" percent="0" rank="0" text="" dxfId="1">
      <formula>E12&lt;0%</formula>
    </cfRule>
  </conditionalFormatting>
  <conditionalFormatting sqref="E12:E20 G12:G20 I12:I20 K12:K20 M12:M20 O12">
    <cfRule type="expression" priority="4" aboveAverage="0" equalAverage="0" bottom="0" percent="0" rank="0" text="" dxfId="1">
      <formula>E12&gt;100%</formula>
    </cfRule>
  </conditionalFormatting>
  <conditionalFormatting sqref="O13">
    <cfRule type="expression" priority="5" aboveAverage="0" equalAverage="0" bottom="0" percent="0" rank="0" text="" dxfId="0">
      <formula>AND(O13&gt;0, O13&lt;=100%)</formula>
    </cfRule>
  </conditionalFormatting>
  <conditionalFormatting sqref="O13">
    <cfRule type="expression" priority="6" aboveAverage="0" equalAverage="0" bottom="0" percent="0" rank="0" text="" dxfId="1">
      <formula>O13&lt;0%</formula>
    </cfRule>
  </conditionalFormatting>
  <conditionalFormatting sqref="O13">
    <cfRule type="expression" priority="7" aboveAverage="0" equalAverage="0" bottom="0" percent="0" rank="0" text="" dxfId="1">
      <formula>O13&gt;100%</formula>
    </cfRule>
  </conditionalFormatting>
  <conditionalFormatting sqref="O14">
    <cfRule type="expression" priority="8" aboveAverage="0" equalAverage="0" bottom="0" percent="0" rank="0" text="" dxfId="0">
      <formula>AND(O14&gt;0, O14&lt;=100%)</formula>
    </cfRule>
  </conditionalFormatting>
  <conditionalFormatting sqref="O14">
    <cfRule type="expression" priority="9" aboveAverage="0" equalAverage="0" bottom="0" percent="0" rank="0" text="" dxfId="1">
      <formula>O14&lt;0%</formula>
    </cfRule>
  </conditionalFormatting>
  <conditionalFormatting sqref="O14">
    <cfRule type="expression" priority="10" aboveAverage="0" equalAverage="0" bottom="0" percent="0" rank="0" text="" dxfId="1">
      <formula>O14&gt;100%</formula>
    </cfRule>
  </conditionalFormatting>
  <conditionalFormatting sqref="O15">
    <cfRule type="expression" priority="11" aboveAverage="0" equalAverage="0" bottom="0" percent="0" rank="0" text="" dxfId="0">
      <formula>AND(O15&gt;0, O15&lt;=100%)</formula>
    </cfRule>
  </conditionalFormatting>
  <conditionalFormatting sqref="O15">
    <cfRule type="expression" priority="12" aboveAverage="0" equalAverage="0" bottom="0" percent="0" rank="0" text="" dxfId="1">
      <formula>O15&lt;0%</formula>
    </cfRule>
  </conditionalFormatting>
  <conditionalFormatting sqref="O15">
    <cfRule type="expression" priority="13" aboveAverage="0" equalAverage="0" bottom="0" percent="0" rank="0" text="" dxfId="1">
      <formula>O15&gt;100%</formula>
    </cfRule>
  </conditionalFormatting>
  <conditionalFormatting sqref="O16">
    <cfRule type="expression" priority="14" aboveAverage="0" equalAverage="0" bottom="0" percent="0" rank="0" text="" dxfId="0">
      <formula>AND(O16&gt;0, O16&lt;=100%)</formula>
    </cfRule>
  </conditionalFormatting>
  <conditionalFormatting sqref="O16">
    <cfRule type="expression" priority="15" aboveAverage="0" equalAverage="0" bottom="0" percent="0" rank="0" text="" dxfId="1">
      <formula>O16&lt;0%</formula>
    </cfRule>
  </conditionalFormatting>
  <conditionalFormatting sqref="O16">
    <cfRule type="expression" priority="16" aboveAverage="0" equalAverage="0" bottom="0" percent="0" rank="0" text="" dxfId="1">
      <formula>O16&gt;100%</formula>
    </cfRule>
  </conditionalFormatting>
  <conditionalFormatting sqref="O17">
    <cfRule type="expression" priority="17" aboveAverage="0" equalAverage="0" bottom="0" percent="0" rank="0" text="" dxfId="0">
      <formula>AND(O17&gt;0, O17&lt;=100%)</formula>
    </cfRule>
  </conditionalFormatting>
  <conditionalFormatting sqref="O17">
    <cfRule type="expression" priority="18" aboveAverage="0" equalAverage="0" bottom="0" percent="0" rank="0" text="" dxfId="1">
      <formula>O17&lt;0%</formula>
    </cfRule>
  </conditionalFormatting>
  <conditionalFormatting sqref="O17">
    <cfRule type="expression" priority="19" aboveAverage="0" equalAverage="0" bottom="0" percent="0" rank="0" text="" dxfId="1">
      <formula>O17&gt;100%</formula>
    </cfRule>
  </conditionalFormatting>
  <conditionalFormatting sqref="O18">
    <cfRule type="expression" priority="20" aboveAverage="0" equalAverage="0" bottom="0" percent="0" rank="0" text="" dxfId="0">
      <formula>AND(O18&gt;0, O18&lt;=100%)</formula>
    </cfRule>
  </conditionalFormatting>
  <conditionalFormatting sqref="O18">
    <cfRule type="expression" priority="21" aboveAverage="0" equalAverage="0" bottom="0" percent="0" rank="0" text="" dxfId="1">
      <formula>O18&lt;0%</formula>
    </cfRule>
  </conditionalFormatting>
  <conditionalFormatting sqref="O18">
    <cfRule type="expression" priority="22" aboveAverage="0" equalAverage="0" bottom="0" percent="0" rank="0" text="" dxfId="1">
      <formula>O18&gt;100%</formula>
    </cfRule>
  </conditionalFormatting>
  <conditionalFormatting sqref="O19">
    <cfRule type="expression" priority="23" aboveAverage="0" equalAverage="0" bottom="0" percent="0" rank="0" text="" dxfId="0">
      <formula>AND(O19&gt;0, O19&lt;=100%)</formula>
    </cfRule>
  </conditionalFormatting>
  <conditionalFormatting sqref="O19">
    <cfRule type="expression" priority="24" aboveAverage="0" equalAverage="0" bottom="0" percent="0" rank="0" text="" dxfId="1">
      <formula>O19&lt;0%</formula>
    </cfRule>
  </conditionalFormatting>
  <conditionalFormatting sqref="O19">
    <cfRule type="expression" priority="25" aboveAverage="0" equalAverage="0" bottom="0" percent="0" rank="0" text="" dxfId="1">
      <formula>O19&gt;100%</formula>
    </cfRule>
  </conditionalFormatting>
  <conditionalFormatting sqref="O20">
    <cfRule type="expression" priority="26" aboveAverage="0" equalAverage="0" bottom="0" percent="0" rank="0" text="" dxfId="0">
      <formula>AND(O20&gt;0, O20&lt;=100%)</formula>
    </cfRule>
  </conditionalFormatting>
  <conditionalFormatting sqref="O20">
    <cfRule type="expression" priority="27" aboveAverage="0" equalAverage="0" bottom="0" percent="0" rank="0" text="" dxfId="1">
      <formula>O20&lt;0%</formula>
    </cfRule>
  </conditionalFormatting>
  <conditionalFormatting sqref="O20">
    <cfRule type="expression" priority="28" aboveAverage="0" equalAverage="0" bottom="0" percent="0" rank="0" text="" dxfId="1">
      <formula>O20&gt;100%</formula>
    </cfRule>
  </conditionalFormatting>
  <printOptions headings="false" gridLines="false" gridLinesSet="true" horizontalCentered="false" verticalCentered="false"/>
  <pageMargins left="0.39375" right="0.39375" top="0.7875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6D6D"/>
    <pageSetUpPr fitToPage="true"/>
  </sheetPr>
  <dimension ref="A1:AK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40625" defaultRowHeight="15" zeroHeight="false" outlineLevelRow="0" outlineLevelCol="0"/>
  <cols>
    <col collapsed="false" customWidth="true" hidden="false" outlineLevel="0" max="1" min="1" style="0" width="4.37"/>
    <col collapsed="false" customWidth="true" hidden="false" outlineLevel="0" max="2" min="2" style="0" width="19"/>
    <col collapsed="false" customWidth="true" hidden="false" outlineLevel="0" max="3" min="3" style="0" width="7.87"/>
    <col collapsed="false" customWidth="true" hidden="false" outlineLevel="0" max="4" min="4" style="0" width="33"/>
    <col collapsed="false" customWidth="true" hidden="false" outlineLevel="0" max="5" min="5" style="0" width="11.5"/>
    <col collapsed="false" customWidth="true" hidden="false" outlineLevel="0" max="6" min="6" style="0" width="13.88"/>
    <col collapsed="false" customWidth="true" hidden="false" outlineLevel="0" max="7" min="7" style="0" width="8.38"/>
    <col collapsed="false" customWidth="true" hidden="false" outlineLevel="0" max="8" min="8" style="0" width="12.37"/>
    <col collapsed="false" customWidth="true" hidden="false" outlineLevel="0" max="9" min="9" style="0" width="2.63"/>
    <col collapsed="false" customWidth="true" hidden="false" outlineLevel="0" max="13" min="10" style="0" width="11.5"/>
    <col collapsed="false" customWidth="true" hidden="false" outlineLevel="0" max="14" min="14" style="0" width="13.37"/>
    <col collapsed="false" customWidth="true" hidden="false" outlineLevel="0" max="15" min="15" style="0" width="8.75"/>
    <col collapsed="false" customWidth="true" hidden="false" outlineLevel="0" max="16" min="16" style="0" width="13.37"/>
    <col collapsed="false" customWidth="true" hidden="false" outlineLevel="0" max="37" min="17" style="0" width="11.5"/>
  </cols>
  <sheetData>
    <row r="1" customFormat="false" ht="14.2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customFormat="false" ht="14.25" hidden="false" customHeight="true" outlineLevel="0" collapsed="false">
      <c r="A2" s="145" t="str">
        <f aca="false">FOLHA_ROSTO!$B$11</f>
        <v>UNIVERSIDADE FEDERAL DA FRONTEIRA SUL</v>
      </c>
      <c r="B2" s="145"/>
      <c r="C2" s="145"/>
      <c r="D2" s="145"/>
      <c r="E2" s="145"/>
      <c r="F2" s="145"/>
      <c r="G2" s="145"/>
      <c r="H2" s="145"/>
      <c r="I2" s="145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customFormat="false" ht="14.25" hidden="false" customHeight="true" outlineLevel="0" collapsed="false">
      <c r="A3" s="145" t="str">
        <f aca="false">FOLHA_ROSTO!$B$15</f>
        <v>SECRETARIA ESPECIAL DE OBRAS</v>
      </c>
      <c r="B3" s="145"/>
      <c r="C3" s="145"/>
      <c r="D3" s="145"/>
      <c r="E3" s="145"/>
      <c r="F3" s="145"/>
      <c r="G3" s="145"/>
      <c r="H3" s="145"/>
      <c r="I3" s="14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customFormat="false" ht="14.25" hidden="false" customHeight="true" outlineLevel="0" collapsed="false">
      <c r="A4" s="145" t="str">
        <f aca="false">FOLHA_ROSTO!$B$13</f>
        <v>CAMPUS LARANJEIRAS DO SUL</v>
      </c>
      <c r="B4" s="145"/>
      <c r="C4" s="145"/>
      <c r="D4" s="145"/>
      <c r="E4" s="145"/>
      <c r="F4" s="145"/>
      <c r="G4" s="145"/>
      <c r="H4" s="145"/>
      <c r="I4" s="14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customFormat="false" ht="14.25" hidden="false" customHeight="true" outlineLevel="0" collapsed="false">
      <c r="A5" s="146" t="str">
        <f aca="false">FOLHA_ROSTO!$B$6</f>
        <v>COMPLEMENTAÇÃO DOS ESTACIONAMENTOS ACESSÍVEIS</v>
      </c>
      <c r="B5" s="146"/>
      <c r="C5" s="146"/>
      <c r="D5" s="146"/>
      <c r="E5" s="146"/>
      <c r="F5" s="146"/>
      <c r="G5" s="146"/>
      <c r="H5" s="146"/>
      <c r="I5" s="14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customFormat="false" ht="14.25" hidden="false" customHeight="true" outlineLevel="0" collapsed="false">
      <c r="A6" s="147" t="str">
        <f aca="false">FOLHA_ROSTO!$B$17</f>
        <v>LARANJEIRAS DO SUL – PR</v>
      </c>
      <c r="B6" s="147"/>
      <c r="C6" s="147"/>
      <c r="D6" s="147"/>
      <c r="E6" s="147"/>
      <c r="F6" s="147"/>
      <c r="G6" s="147"/>
      <c r="H6" s="147"/>
      <c r="I6" s="14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customFormat="false" ht="14.25" hidden="false" customHeight="true" outlineLevel="0" collapsed="false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customFormat="false" ht="14.2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customFormat="false" ht="27.75" hidden="false" customHeight="true" outlineLevel="0" collapsed="false">
      <c r="A9" s="148" t="s">
        <v>275</v>
      </c>
      <c r="B9" s="148"/>
      <c r="C9" s="148"/>
      <c r="D9" s="148"/>
      <c r="E9" s="148"/>
      <c r="F9" s="148"/>
      <c r="G9" s="148"/>
      <c r="H9" s="148"/>
      <c r="I9" s="14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customFormat="false" ht="14.25" hidden="false" customHeight="true" outlineLevel="0" collapsed="false">
      <c r="A10" s="149"/>
      <c r="B10" s="149"/>
      <c r="C10" s="149"/>
      <c r="D10" s="149"/>
      <c r="E10" s="149"/>
      <c r="F10" s="149"/>
      <c r="G10" s="149"/>
      <c r="H10" s="149"/>
      <c r="I10" s="14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customFormat="false" ht="14.25" hidden="false" customHeight="true" outlineLevel="0" collapsed="false">
      <c r="A11" s="5"/>
      <c r="B11" s="1"/>
      <c r="C11" s="1"/>
      <c r="D11" s="1"/>
      <c r="E11" s="117"/>
      <c r="F11" s="1"/>
      <c r="G11" s="1"/>
      <c r="H11" s="1"/>
      <c r="I11" s="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customFormat="false" ht="14.25" hidden="false" customHeight="true" outlineLevel="0" collapsed="false">
      <c r="A12" s="5"/>
      <c r="B12" s="150" t="s">
        <v>276</v>
      </c>
      <c r="C12" s="1"/>
      <c r="D12" s="1"/>
      <c r="E12" s="117"/>
      <c r="F12" s="1"/>
      <c r="G12" s="1"/>
      <c r="H12" s="1"/>
      <c r="I12" s="6"/>
      <c r="J12" s="1"/>
      <c r="K12" s="1"/>
      <c r="L12" s="15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customFormat="false" ht="14.25" hidden="false" customHeight="true" outlineLevel="0" collapsed="false">
      <c r="A13" s="5"/>
      <c r="B13" s="152" t="s">
        <v>277</v>
      </c>
      <c r="C13" s="152"/>
      <c r="D13" s="152"/>
      <c r="E13" s="152"/>
      <c r="F13" s="152"/>
      <c r="G13" s="152"/>
      <c r="H13" s="152"/>
      <c r="I13" s="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customFormat="false" ht="14.25" hidden="false" customHeight="true" outlineLevel="0" collapsed="false">
      <c r="A14" s="5"/>
      <c r="B14" s="153"/>
      <c r="C14" s="1"/>
      <c r="D14" s="1"/>
      <c r="E14" s="117"/>
      <c r="F14" s="1"/>
      <c r="G14" s="1"/>
      <c r="H14" s="1"/>
      <c r="I14" s="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customFormat="false" ht="14.25" hidden="false" customHeight="true" outlineLevel="0" collapsed="false">
      <c r="A15" s="5"/>
      <c r="B15" s="153" t="s">
        <v>278</v>
      </c>
      <c r="C15" s="1"/>
      <c r="D15" s="1"/>
      <c r="E15" s="117"/>
      <c r="F15" s="1"/>
      <c r="G15" s="1"/>
      <c r="H15" s="1"/>
      <c r="I15" s="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customFormat="false" ht="14.25" hidden="false" customHeight="true" outlineLevel="0" collapsed="false">
      <c r="A16" s="5"/>
      <c r="B16" s="152" t="s">
        <v>279</v>
      </c>
      <c r="C16" s="152"/>
      <c r="D16" s="152"/>
      <c r="E16" s="152"/>
      <c r="F16" s="152"/>
      <c r="G16" s="152"/>
      <c r="H16" s="152"/>
      <c r="I16" s="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customFormat="false" ht="14.25" hidden="false" customHeight="true" outlineLevel="0" collapsed="false">
      <c r="A17" s="5"/>
      <c r="B17" s="150"/>
      <c r="C17" s="1"/>
      <c r="D17" s="1"/>
      <c r="E17" s="117"/>
      <c r="F17" s="1"/>
      <c r="G17" s="1"/>
      <c r="H17" s="1"/>
      <c r="I17" s="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customFormat="false" ht="24.75" hidden="false" customHeight="true" outlineLevel="0" collapsed="false">
      <c r="A18" s="5"/>
      <c r="B18" s="154" t="s">
        <v>280</v>
      </c>
      <c r="C18" s="154"/>
      <c r="D18" s="154"/>
      <c r="E18" s="154"/>
      <c r="F18" s="154"/>
      <c r="G18" s="154"/>
      <c r="H18" s="155" t="n">
        <v>0.02</v>
      </c>
      <c r="I18" s="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customFormat="false" ht="14.25" hidden="false" customHeight="true" outlineLevel="0" collapsed="false">
      <c r="A19" s="5"/>
      <c r="B19" s="154" t="s">
        <v>281</v>
      </c>
      <c r="C19" s="154"/>
      <c r="D19" s="154"/>
      <c r="E19" s="154"/>
      <c r="F19" s="154"/>
      <c r="G19" s="154"/>
      <c r="H19" s="155" t="n">
        <v>0.3</v>
      </c>
      <c r="I19" s="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customFormat="false" ht="14.25" hidden="false" customHeight="true" outlineLevel="0" collapsed="false">
      <c r="A20" s="5"/>
      <c r="B20" s="150"/>
      <c r="C20" s="1"/>
      <c r="D20" s="1"/>
      <c r="E20" s="117"/>
      <c r="F20" s="1"/>
      <c r="G20" s="1"/>
      <c r="H20" s="1"/>
      <c r="I20" s="6"/>
      <c r="J20" s="1"/>
      <c r="K20" s="156" t="s">
        <v>282</v>
      </c>
      <c r="L20" s="156"/>
      <c r="M20" s="156"/>
      <c r="N20" s="157" t="s">
        <v>283</v>
      </c>
      <c r="O20" s="157" t="s">
        <v>284</v>
      </c>
      <c r="P20" s="157" t="s">
        <v>285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customFormat="false" ht="14.25" hidden="false" customHeight="true" outlineLevel="0" collapsed="false">
      <c r="A21" s="5"/>
      <c r="B21" s="158" t="s">
        <v>286</v>
      </c>
      <c r="C21" s="158"/>
      <c r="D21" s="158"/>
      <c r="E21" s="158"/>
      <c r="F21" s="158"/>
      <c r="G21" s="159" t="s">
        <v>287</v>
      </c>
      <c r="H21" s="160" t="s">
        <v>288</v>
      </c>
      <c r="I21" s="6"/>
      <c r="J21" s="1"/>
      <c r="K21" s="156"/>
      <c r="L21" s="156"/>
      <c r="M21" s="156"/>
      <c r="N21" s="157"/>
      <c r="O21" s="157"/>
      <c r="P21" s="157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customFormat="false" ht="14.25" hidden="false" customHeight="true" outlineLevel="0" collapsed="false">
      <c r="A22" s="161"/>
      <c r="B22" s="162"/>
      <c r="C22" s="163"/>
      <c r="D22" s="164"/>
      <c r="E22" s="163"/>
      <c r="F22" s="165" t="str">
        <f aca="false">IF($B$13=$A$70,"Encargos sociais incidentes sobre a mão de obra","Administração Central")</f>
        <v>Administração Central</v>
      </c>
      <c r="G22" s="166" t="str">
        <f aca="false">IF($B$13=$A$70,"K1","AC")</f>
        <v>AC</v>
      </c>
      <c r="H22" s="167" t="n">
        <v>0.04</v>
      </c>
      <c r="I22" s="6"/>
      <c r="J22" s="1"/>
      <c r="K22" s="168" t="str">
        <f aca="false">IF(OR($B$13=$A$69, $B$13=$A$70,AND($H22 &gt;= $N22,  $H22 &lt;= $P22)),"OK","FORA DO INTERVALO")</f>
        <v>OK</v>
      </c>
      <c r="L22" s="168"/>
      <c r="M22" s="168"/>
      <c r="N22" s="169" t="n">
        <f aca="false">VLOOKUP($B$13,$A$62:$AK$70,IF($B$13=$A$70,26,11),FALSE())</f>
        <v>0.03</v>
      </c>
      <c r="O22" s="169" t="n">
        <f aca="false">VLOOKUP($B$13,$A$62:$AK$70,IF($B$13=$A$70,27,12),FALSE())</f>
        <v>0.04</v>
      </c>
      <c r="P22" s="169" t="n">
        <f aca="false">VLOOKUP($B$13,$A$62:$AK$70,IF($B$13=$A$70,28,13),FALSE())</f>
        <v>0.055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customFormat="false" ht="14.25" hidden="false" customHeight="true" outlineLevel="0" collapsed="false">
      <c r="A23" s="161"/>
      <c r="B23" s="162"/>
      <c r="C23" s="163"/>
      <c r="D23" s="164"/>
      <c r="E23" s="163"/>
      <c r="F23" s="165" t="str">
        <f aca="false">IF($B$13=$A$70,"Administração central da empresa ou consultoria - overhead","Seguro + Garantia")</f>
        <v>Seguro + Garantia</v>
      </c>
      <c r="G23" s="166" t="str">
        <f aca="false">IF($B$13=$A$70,"K2","SG")</f>
        <v>SG</v>
      </c>
      <c r="H23" s="167" t="n">
        <v>0.008</v>
      </c>
      <c r="I23" s="6"/>
      <c r="J23" s="1"/>
      <c r="K23" s="168" t="str">
        <f aca="false">IF(OR($B$13=$A$69, $B$13=$A$70,AND($H23 &gt;= $N23,  $H23 &lt;= $P23)),"OK","FORA DO INTERVALO")</f>
        <v>OK</v>
      </c>
      <c r="L23" s="168"/>
      <c r="M23" s="168"/>
      <c r="N23" s="169" t="n">
        <f aca="false">VLOOKUP($B$13,$A$62:$AK$70,IF($B$13=$A$70,29,14),FALSE())</f>
        <v>0.008</v>
      </c>
      <c r="O23" s="169" t="n">
        <f aca="false">VLOOKUP($B$13,$A$62:$AK$70,IF($B$13=$A$70,30,15),FALSE())</f>
        <v>0.008</v>
      </c>
      <c r="P23" s="169" t="n">
        <f aca="false">VLOOKUP($B$13,$A$62:$AK$70,IF($B$13=$A$70,31,16),FALSE())</f>
        <v>0.01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customFormat="false" ht="14.25" hidden="false" customHeight="true" outlineLevel="0" collapsed="false">
      <c r="A24" s="161"/>
      <c r="B24" s="162"/>
      <c r="C24" s="163"/>
      <c r="D24" s="164"/>
      <c r="E24" s="163"/>
      <c r="F24" s="165" t="str">
        <f aca="false">IF($B$13=$A$70,"","Risco")</f>
        <v>Risco</v>
      </c>
      <c r="G24" s="166" t="str">
        <f aca="false">IF($B$13=$A$70,"","R")</f>
        <v>R</v>
      </c>
      <c r="H24" s="167" t="n">
        <v>0.0127</v>
      </c>
      <c r="I24" s="6"/>
      <c r="J24" s="1"/>
      <c r="K24" s="168" t="str">
        <f aca="false">IF(OR($B$13=$A$69, $B$13=$A$70,AND($H24 &gt;= $N24,  $H24 &lt;= $P24)),"OK","FORA DO INTERVALO")</f>
        <v>OK</v>
      </c>
      <c r="L24" s="168"/>
      <c r="M24" s="168"/>
      <c r="N24" s="169" t="n">
        <f aca="false">VLOOKUP($B$13,$A$62:$AK$70,17,FALSE())</f>
        <v>0.0097</v>
      </c>
      <c r="O24" s="169" t="n">
        <f aca="false">VLOOKUP($B$13,$A$62:$AK$70,18,FALSE())</f>
        <v>0.0127</v>
      </c>
      <c r="P24" s="169" t="n">
        <f aca="false">VLOOKUP($B$13,$A$62:$AK$70,19,FALSE())</f>
        <v>0.0127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customFormat="false" ht="14.25" hidden="false" customHeight="true" outlineLevel="0" collapsed="false">
      <c r="A25" s="161"/>
      <c r="B25" s="162"/>
      <c r="C25" s="163"/>
      <c r="D25" s="164"/>
      <c r="E25" s="163"/>
      <c r="F25" s="165" t="str">
        <f aca="false">IF($B$13=$A$70,"","Despesas Financeiras")</f>
        <v>Despesas Financeiras</v>
      </c>
      <c r="G25" s="166" t="str">
        <f aca="false">IF($B$13=$A$70,"","DF")</f>
        <v>DF</v>
      </c>
      <c r="H25" s="167" t="n">
        <v>0.0123</v>
      </c>
      <c r="I25" s="6"/>
      <c r="J25" s="1"/>
      <c r="K25" s="168" t="str">
        <f aca="false">IF(OR($B$13=$A$69, $B$13=$A$70,AND($H25 &gt;= $N25,  $H25 &lt;= $P25)),"OK","FORA DO INTERVALO")</f>
        <v>OK</v>
      </c>
      <c r="L25" s="168"/>
      <c r="M25" s="168"/>
      <c r="N25" s="169" t="n">
        <f aca="false">VLOOKUP($B$13,$A$62:$AK$70,20,FALSE())</f>
        <v>0.0059</v>
      </c>
      <c r="O25" s="169" t="n">
        <f aca="false">VLOOKUP($B$13,$A$62:$AK$70,21,FALSE())</f>
        <v>0.0123</v>
      </c>
      <c r="P25" s="169" t="n">
        <f aca="false">VLOOKUP($B$13,$A$62:$AK$70,22,FALSE())</f>
        <v>0.0139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customFormat="false" ht="14.25" hidden="false" customHeight="true" outlineLevel="0" collapsed="false">
      <c r="A26" s="161"/>
      <c r="B26" s="162"/>
      <c r="C26" s="163"/>
      <c r="D26" s="164"/>
      <c r="E26" s="163"/>
      <c r="F26" s="165" t="str">
        <f aca="false">IF($B$13=$A$70,"Margem bruta da empresa de consultoria","Lucro")</f>
        <v>Lucro</v>
      </c>
      <c r="G26" s="166" t="str">
        <f aca="false">IF($B$13=$A$70,"K3","L")</f>
        <v>L</v>
      </c>
      <c r="H26" s="167" t="n">
        <v>0.074</v>
      </c>
      <c r="I26" s="6"/>
      <c r="J26" s="1"/>
      <c r="K26" s="168" t="str">
        <f aca="false">IF(OR($B$13=$A$69, $B$13=$A$70,AND($H26 &gt;= $N26,  $H26 &lt;= $P26)),"OK","FORA DO INTERVALO")</f>
        <v>OK</v>
      </c>
      <c r="L26" s="168"/>
      <c r="M26" s="168"/>
      <c r="N26" s="169" t="n">
        <f aca="false">VLOOKUP($B$13,$A$62:$AK$70,IF($B$13=$A$70,32,23),FALSE())</f>
        <v>0.0616</v>
      </c>
      <c r="O26" s="169" t="n">
        <f aca="false">VLOOKUP($B$13,$A$62:$AK$70,IF($B$13=$A$70,33,24),FALSE())</f>
        <v>0.074</v>
      </c>
      <c r="P26" s="169" t="n">
        <f aca="false">VLOOKUP($B$13,$A$62:$AK$70,IF($B$13=$A$70,34,25),FALSE())</f>
        <v>0.0896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customFormat="false" ht="14.25" hidden="false" customHeight="true" outlineLevel="0" collapsed="false">
      <c r="A27" s="161"/>
      <c r="B27" s="162"/>
      <c r="C27" s="163"/>
      <c r="D27" s="164"/>
      <c r="E27" s="163"/>
      <c r="F27" s="165" t="s">
        <v>289</v>
      </c>
      <c r="G27" s="166" t="s">
        <v>290</v>
      </c>
      <c r="H27" s="167" t="n">
        <v>0.0365</v>
      </c>
      <c r="I27" s="6"/>
      <c r="J27" s="1"/>
      <c r="K27" s="168" t="str">
        <f aca="false">IF(OR($B$13=$A$69, $B$13=$A$70,AND($H27 &gt;= $N27,  $H27 &lt;= $P27)),"OK","FORA DO INTERVALO")</f>
        <v>OK</v>
      </c>
      <c r="L27" s="168"/>
      <c r="M27" s="168"/>
      <c r="N27" s="169" t="n">
        <v>0.0365</v>
      </c>
      <c r="O27" s="169" t="n">
        <v>0.0365</v>
      </c>
      <c r="P27" s="169" t="n">
        <v>0.0365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customFormat="false" ht="14.25" hidden="false" customHeight="true" outlineLevel="0" collapsed="false">
      <c r="A28" s="161"/>
      <c r="B28" s="162"/>
      <c r="C28" s="163"/>
      <c r="D28" s="164"/>
      <c r="E28" s="163"/>
      <c r="F28" s="165" t="s">
        <v>291</v>
      </c>
      <c r="G28" s="166" t="s">
        <v>292</v>
      </c>
      <c r="H28" s="170" t="n">
        <v>0.015</v>
      </c>
      <c r="I28" s="6"/>
      <c r="J28" s="1"/>
      <c r="K28" s="168" t="str">
        <f aca="false">IF(OR($B$13=$A$69, $B$13=$A$70,AND($H28 &gt;= $N28,  $H28 &lt;= $P28)),"OK","FORA DO INTERVALO")</f>
        <v>OK</v>
      </c>
      <c r="L28" s="168"/>
      <c r="M28" s="168"/>
      <c r="N28" s="171" t="n">
        <v>0</v>
      </c>
      <c r="O28" s="169" t="n">
        <v>0.025</v>
      </c>
      <c r="P28" s="169" t="n">
        <v>0.05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customFormat="false" ht="14.25" hidden="false" customHeight="true" outlineLevel="0" collapsed="false">
      <c r="A29" s="161"/>
      <c r="B29" s="162"/>
      <c r="C29" s="163"/>
      <c r="D29" s="164"/>
      <c r="E29" s="163"/>
      <c r="F29" s="172" t="s">
        <v>293</v>
      </c>
      <c r="G29" s="166" t="s">
        <v>294</v>
      </c>
      <c r="H29" s="170" t="n">
        <v>0</v>
      </c>
      <c r="I29" s="6"/>
      <c r="J29" s="1"/>
      <c r="K29" s="168" t="str">
        <f aca="false">IF(OR($B$13=$A$69, $B$13=$A$70,AND($H29 &gt;= $N29,  $H29 &lt;= $P29)),"OK","FORA DO INTERVALO")</f>
        <v>OK</v>
      </c>
      <c r="L29" s="168"/>
      <c r="M29" s="168"/>
      <c r="N29" s="173" t="n">
        <v>0</v>
      </c>
      <c r="O29" s="174" t="n">
        <v>0.045</v>
      </c>
      <c r="P29" s="174" t="n">
        <v>0.045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customFormat="false" ht="14.25" hidden="false" customHeight="true" outlineLevel="0" collapsed="false">
      <c r="A30" s="175"/>
      <c r="B30" s="176"/>
      <c r="C30" s="176"/>
      <c r="D30" s="176"/>
      <c r="E30" s="177"/>
      <c r="F30" s="176"/>
      <c r="G30" s="176"/>
      <c r="H30" s="176"/>
      <c r="I30" s="178"/>
      <c r="J30" s="1"/>
      <c r="K30" s="179"/>
      <c r="L30" s="179"/>
      <c r="M30" s="179"/>
      <c r="N30" s="180"/>
      <c r="O30" s="180"/>
      <c r="P30" s="180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customFormat="false" ht="14.25" hidden="false" customHeight="true" outlineLevel="0" collapsed="false">
      <c r="A31" s="1"/>
      <c r="B31" s="1"/>
      <c r="C31" s="1"/>
      <c r="D31" s="1"/>
      <c r="E31" s="117"/>
      <c r="F31" s="1"/>
      <c r="G31" s="1"/>
      <c r="H31" s="1"/>
      <c r="I31" s="1"/>
      <c r="J31" s="1"/>
      <c r="K31" s="150" t="s">
        <v>295</v>
      </c>
      <c r="L31" s="1"/>
      <c r="M31" s="1"/>
      <c r="N31" s="181"/>
      <c r="O31" s="181"/>
      <c r="P31" s="18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customFormat="false" ht="14.25" hidden="false" customHeight="true" outlineLevel="0" collapsed="false">
      <c r="A32" s="2"/>
      <c r="B32" s="3"/>
      <c r="C32" s="3"/>
      <c r="D32" s="3"/>
      <c r="E32" s="182"/>
      <c r="F32" s="3"/>
      <c r="G32" s="3"/>
      <c r="H32" s="3"/>
      <c r="I32" s="4"/>
      <c r="J32" s="1"/>
      <c r="K32" s="183" t="n">
        <f aca="false">IF($B$13=$A$70,0,(1+$H$22+$H$23+$H$24)*(1+$H$25)*(1+$H$26)/(1-$H$27-$H$28) - 1)</f>
        <v>0.2158185125</v>
      </c>
      <c r="L32" s="1"/>
      <c r="M32" s="1"/>
      <c r="N32" s="181"/>
      <c r="O32" s="181"/>
      <c r="P32" s="18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customFormat="false" ht="14.25" hidden="false" customHeight="true" outlineLevel="0" collapsed="false">
      <c r="A33" s="5"/>
      <c r="B33" s="150" t="s">
        <v>296</v>
      </c>
      <c r="C33" s="1"/>
      <c r="D33" s="1"/>
      <c r="E33" s="117"/>
      <c r="F33" s="1"/>
      <c r="G33" s="1"/>
      <c r="H33" s="1"/>
      <c r="I33" s="6"/>
      <c r="J33" s="1"/>
      <c r="K33" s="1"/>
      <c r="L33" s="1"/>
      <c r="M33" s="1"/>
      <c r="N33" s="181"/>
      <c r="O33" s="181"/>
      <c r="P33" s="18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customFormat="false" ht="14.25" hidden="false" customHeight="true" outlineLevel="0" collapsed="false">
      <c r="A34" s="5"/>
      <c r="B34" s="184" t="s">
        <v>297</v>
      </c>
      <c r="C34" s="185" t="s">
        <v>298</v>
      </c>
      <c r="D34" s="186" t="str">
        <f aca="false">IF($B$13=$A$70,"(1+K1+K2)(1+K3)","(1+AC+SG+R)(1+DF)(1+L)")</f>
        <v>(1+AC+SG+R)(1+DF)(1+L)</v>
      </c>
      <c r="E34" s="187" t="s">
        <v>299</v>
      </c>
      <c r="F34" s="188" t="s">
        <v>298</v>
      </c>
      <c r="G34" s="189" t="n">
        <f aca="false">IF($B$13=$A$70,0,(1+$H$22+$H$23+$H$24)*(1+$H$25)*(1+$H$26)/(1-$H$27-$H$28-$H$29) - 1)</f>
        <v>0.2158185125</v>
      </c>
      <c r="H34" s="189"/>
      <c r="I34" s="6"/>
      <c r="J34" s="1"/>
      <c r="K34" s="156" t="str">
        <f aca="false">IF(OR($B$13=$A$69, $B$13=$A$70, AND($K$32 &gt;= $N$34,  $K$32 &lt;= $P$34)),"OK","FORA DO INTERVALO")</f>
        <v>OK</v>
      </c>
      <c r="L34" s="156"/>
      <c r="M34" s="156"/>
      <c r="N34" s="169" t="n">
        <f aca="false">VLOOKUP($B$13,$A$62:$AK$70,35,FALSE())</f>
        <v>0.2034</v>
      </c>
      <c r="O34" s="169" t="n">
        <f aca="false">VLOOKUP($B$13,$A$62:$AK$70,36,FALSE())</f>
        <v>0.2212</v>
      </c>
      <c r="P34" s="169" t="n">
        <f aca="false">VLOOKUP($B$13,$A$62:$AK$70,37,FALSE())</f>
        <v>0.25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customFormat="false" ht="14.25" hidden="false" customHeight="true" outlineLevel="0" collapsed="false">
      <c r="A35" s="5"/>
      <c r="B35" s="184"/>
      <c r="C35" s="185"/>
      <c r="D35" s="190" t="s">
        <v>300</v>
      </c>
      <c r="E35" s="187"/>
      <c r="F35" s="187"/>
      <c r="G35" s="187"/>
      <c r="H35" s="189"/>
      <c r="I35" s="6"/>
      <c r="J35" s="1"/>
      <c r="K35" s="156"/>
      <c r="L35" s="156"/>
      <c r="M35" s="156"/>
      <c r="N35" s="169"/>
      <c r="O35" s="169"/>
      <c r="P35" s="169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customFormat="false" ht="14.25" hidden="false" customHeight="true" outlineLevel="0" collapsed="false">
      <c r="A36" s="5"/>
      <c r="B36" s="47"/>
      <c r="C36" s="46"/>
      <c r="D36" s="121"/>
      <c r="E36" s="19"/>
      <c r="F36" s="191"/>
      <c r="G36" s="19"/>
      <c r="H36" s="192"/>
      <c r="I36" s="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customFormat="false" ht="14.25" hidden="false" customHeight="true" outlineLevel="0" collapsed="false">
      <c r="A37" s="5"/>
      <c r="B37" s="193" t="str">
        <f aca="false">IF($K$34&lt;&gt;"OK","X","")</f>
        <v/>
      </c>
      <c r="C37" s="194" t="str">
        <f aca="false">IF($K$34&lt;&gt;"OK","ANEXO: Relatório Técnico Circunstanciado justificando a adoção do percentual de cada parcela do BDI.","")</f>
        <v/>
      </c>
      <c r="D37" s="194"/>
      <c r="E37" s="194"/>
      <c r="F37" s="194"/>
      <c r="G37" s="194"/>
      <c r="H37" s="194"/>
      <c r="I37" s="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customFormat="false" ht="14.25" hidden="false" customHeight="true" outlineLevel="0" collapsed="false">
      <c r="A38" s="5"/>
      <c r="B38" s="1"/>
      <c r="C38" s="1"/>
      <c r="D38" s="1"/>
      <c r="E38" s="118"/>
      <c r="F38" s="195"/>
      <c r="G38" s="121"/>
      <c r="H38" s="119"/>
      <c r="I38" s="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customFormat="false" ht="14.25" hidden="false" customHeight="true" outlineLevel="0" collapsed="false">
      <c r="A39" s="5"/>
      <c r="B39" s="150" t="s">
        <v>301</v>
      </c>
      <c r="C39" s="1"/>
      <c r="D39" s="1"/>
      <c r="E39" s="118"/>
      <c r="F39" s="195"/>
      <c r="G39" s="121"/>
      <c r="H39" s="119"/>
      <c r="I39" s="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customFormat="false" ht="14.25" hidden="false" customHeight="true" outlineLevel="0" collapsed="false">
      <c r="A40" s="5"/>
      <c r="B40" s="196"/>
      <c r="C40" s="196"/>
      <c r="D40" s="196"/>
      <c r="E40" s="196"/>
      <c r="F40" s="196"/>
      <c r="G40" s="196"/>
      <c r="H40" s="196"/>
      <c r="I40" s="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customFormat="false" ht="14.25" hidden="false" customHeight="true" outlineLevel="0" collapsed="false">
      <c r="A41" s="5"/>
      <c r="B41" s="196"/>
      <c r="C41" s="196"/>
      <c r="D41" s="196"/>
      <c r="E41" s="196"/>
      <c r="F41" s="196"/>
      <c r="G41" s="196"/>
      <c r="H41" s="196"/>
      <c r="I41" s="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customFormat="false" ht="14.25" hidden="false" customHeight="true" outlineLevel="0" collapsed="false">
      <c r="A42" s="5"/>
      <c r="B42" s="196"/>
      <c r="C42" s="196"/>
      <c r="D42" s="196"/>
      <c r="E42" s="196"/>
      <c r="F42" s="196"/>
      <c r="G42" s="196"/>
      <c r="H42" s="196"/>
      <c r="I42" s="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customFormat="false" ht="14.25" hidden="false" customHeight="true" outlineLevel="0" collapsed="false">
      <c r="A43" s="5"/>
      <c r="B43" s="196"/>
      <c r="C43" s="196"/>
      <c r="D43" s="196"/>
      <c r="E43" s="196"/>
      <c r="F43" s="196"/>
      <c r="G43" s="196"/>
      <c r="H43" s="196"/>
      <c r="I43" s="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customFormat="false" ht="14.25" hidden="false" customHeight="true" outlineLevel="0" collapsed="false">
      <c r="A44" s="5"/>
      <c r="B44" s="196"/>
      <c r="C44" s="196"/>
      <c r="D44" s="196"/>
      <c r="E44" s="196"/>
      <c r="F44" s="196"/>
      <c r="G44" s="196"/>
      <c r="H44" s="196"/>
      <c r="I44" s="6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customFormat="false" ht="14.25" hidden="false" customHeight="true" outlineLevel="0" collapsed="false">
      <c r="A45" s="25"/>
      <c r="B45" s="26"/>
      <c r="C45" s="26"/>
      <c r="D45" s="26"/>
      <c r="E45" s="197"/>
      <c r="F45" s="26"/>
      <c r="G45" s="26"/>
      <c r="H45" s="26"/>
      <c r="I45" s="2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customFormat="false" ht="14.25" hidden="false" customHeight="true" outlineLevel="0" collapsed="false">
      <c r="A46" s="1"/>
      <c r="B46" s="1" t="s">
        <v>302</v>
      </c>
      <c r="C46" s="1"/>
      <c r="D46" s="1"/>
      <c r="E46" s="11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customFormat="false" ht="14.25" hidden="false" customHeight="true" outlineLevel="0" collapsed="false">
      <c r="A47" s="1"/>
      <c r="B47" s="1"/>
      <c r="C47" s="1"/>
      <c r="D47" s="1"/>
      <c r="E47" s="11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customFormat="false" ht="14.25" hidden="false" customHeight="true" outlineLevel="0" collapsed="false">
      <c r="A48" s="198"/>
      <c r="B48" s="199" t="str">
        <f aca="false">CONCATENATE(FOLHA_ROSTO!$B$17, ", ", TEXT(FOLHA_ROSTO!$D$46, "NNNND ""de"" MMMM ""de"" AAAA"))</f>
        <v>LARANJEIRAS DO SUL – PR, segunda-feira, 18 de setembro de 2023</v>
      </c>
      <c r="C48" s="199"/>
      <c r="D48" s="199"/>
      <c r="E48" s="199"/>
      <c r="F48" s="199"/>
      <c r="G48" s="199"/>
      <c r="H48" s="199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customFormat="false" ht="14.25" hidden="false" customHeight="true" outlineLevel="0" collapsed="false">
      <c r="A49" s="200"/>
      <c r="B49" s="1"/>
      <c r="C49" s="201"/>
      <c r="D49" s="1"/>
      <c r="E49" s="11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customFormat="false" ht="14.25" hidden="false" customHeight="true" outlineLevel="0" collapsed="false">
      <c r="A50" s="1"/>
      <c r="B50" s="1"/>
      <c r="C50" s="1"/>
      <c r="D50" s="1"/>
      <c r="E50" s="11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customFormat="false" ht="14.25" hidden="false" customHeight="true" outlineLevel="0" collapsed="false">
      <c r="A51" s="1"/>
      <c r="B51" s="1"/>
      <c r="C51" s="1"/>
      <c r="D51" s="1"/>
      <c r="E51" s="11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customFormat="false" ht="14.25" hidden="false" customHeight="true" outlineLevel="0" collapsed="false">
      <c r="A52" s="1"/>
      <c r="B52" s="1"/>
      <c r="C52" s="1"/>
      <c r="D52" s="1"/>
      <c r="E52" s="11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customFormat="false" ht="14.25" hidden="false" customHeight="true" outlineLevel="0" collapsed="false">
      <c r="A53" s="1"/>
      <c r="B53" s="1"/>
      <c r="C53" s="1"/>
      <c r="D53" s="202" t="s">
        <v>303</v>
      </c>
      <c r="E53" s="202"/>
      <c r="F53" s="20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customFormat="false" ht="14.25" hidden="false" customHeight="true" outlineLevel="0" collapsed="false">
      <c r="A54" s="1"/>
      <c r="B54" s="203"/>
      <c r="C54" s="203"/>
      <c r="D54" s="204" t="str">
        <f aca="false">FOLHA_ROSTO!$C$51</f>
        <v>Wellington Tischer</v>
      </c>
      <c r="E54" s="204"/>
      <c r="F54" s="204"/>
      <c r="G54" s="203"/>
      <c r="H54" s="20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customFormat="false" ht="14.25" hidden="false" customHeight="true" outlineLevel="0" collapsed="false">
      <c r="A55" s="1"/>
      <c r="B55" s="1"/>
      <c r="C55" s="1"/>
      <c r="D55" s="205" t="str">
        <f aca="false">FOLHA_ROSTO!$C$52</f>
        <v>CAU/SC</v>
      </c>
      <c r="E55" s="205"/>
      <c r="F55" s="205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customFormat="false" ht="14.25" hidden="false" customHeight="true" outlineLevel="0" collapsed="false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customFormat="false" ht="14.25" hidden="false" customHeight="true" outlineLevel="0" collapsed="false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customFormat="false" ht="14.25" hidden="false" customHeight="true" outlineLevel="0" collapsed="false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customFormat="false" ht="14.25" hidden="false" customHeight="true" outlineLevel="0" collapsed="false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customFormat="false" ht="14.25" hidden="true" customHeight="true" outlineLevel="0" collapsed="false">
      <c r="A60" s="1"/>
      <c r="B60" s="1"/>
      <c r="C60" s="1"/>
      <c r="D60" s="1"/>
      <c r="E60" s="1"/>
      <c r="F60" s="1"/>
      <c r="G60" s="1"/>
      <c r="H60" s="1"/>
      <c r="I60" s="1"/>
      <c r="J60" s="1"/>
      <c r="K60" s="205" t="s">
        <v>304</v>
      </c>
      <c r="L60" s="205"/>
      <c r="M60" s="205"/>
      <c r="N60" s="205" t="s">
        <v>305</v>
      </c>
      <c r="O60" s="205"/>
      <c r="P60" s="205"/>
      <c r="Q60" s="205" t="s">
        <v>306</v>
      </c>
      <c r="R60" s="205"/>
      <c r="S60" s="205"/>
      <c r="T60" s="205" t="s">
        <v>307</v>
      </c>
      <c r="U60" s="205"/>
      <c r="V60" s="205"/>
      <c r="W60" s="205" t="s">
        <v>308</v>
      </c>
      <c r="X60" s="205"/>
      <c r="Y60" s="205"/>
      <c r="Z60" s="205" t="s">
        <v>309</v>
      </c>
      <c r="AA60" s="205"/>
      <c r="AB60" s="205"/>
      <c r="AC60" s="205" t="s">
        <v>310</v>
      </c>
      <c r="AD60" s="205"/>
      <c r="AE60" s="205"/>
      <c r="AF60" s="205" t="s">
        <v>311</v>
      </c>
      <c r="AG60" s="205"/>
      <c r="AH60" s="205"/>
      <c r="AI60" s="205" t="s">
        <v>44</v>
      </c>
      <c r="AJ60" s="205"/>
      <c r="AK60" s="205"/>
    </row>
    <row r="61" customFormat="false" ht="14.25" hidden="true" customHeight="true" outlineLevel="0" collapsed="false">
      <c r="A61" s="1"/>
      <c r="B61" s="1"/>
      <c r="C61" s="1"/>
      <c r="D61" s="1"/>
      <c r="E61" s="1"/>
      <c r="F61" s="1"/>
      <c r="G61" s="1"/>
      <c r="H61" s="1"/>
      <c r="I61" s="1"/>
      <c r="J61" s="1"/>
      <c r="K61" s="1" t="s">
        <v>283</v>
      </c>
      <c r="L61" s="1" t="s">
        <v>284</v>
      </c>
      <c r="M61" s="1" t="s">
        <v>285</v>
      </c>
      <c r="N61" s="1" t="s">
        <v>283</v>
      </c>
      <c r="O61" s="1" t="s">
        <v>284</v>
      </c>
      <c r="P61" s="1" t="s">
        <v>285</v>
      </c>
      <c r="Q61" s="1" t="s">
        <v>283</v>
      </c>
      <c r="R61" s="1" t="s">
        <v>284</v>
      </c>
      <c r="S61" s="1" t="s">
        <v>285</v>
      </c>
      <c r="T61" s="1" t="s">
        <v>283</v>
      </c>
      <c r="U61" s="1" t="s">
        <v>284</v>
      </c>
      <c r="V61" s="1" t="s">
        <v>285</v>
      </c>
      <c r="W61" s="1" t="s">
        <v>283</v>
      </c>
      <c r="X61" s="1" t="s">
        <v>284</v>
      </c>
      <c r="Y61" s="1" t="s">
        <v>285</v>
      </c>
      <c r="Z61" s="1" t="s">
        <v>283</v>
      </c>
      <c r="AA61" s="1" t="s">
        <v>284</v>
      </c>
      <c r="AB61" s="1" t="s">
        <v>285</v>
      </c>
      <c r="AC61" s="1" t="s">
        <v>283</v>
      </c>
      <c r="AD61" s="1" t="s">
        <v>284</v>
      </c>
      <c r="AE61" s="1" t="s">
        <v>285</v>
      </c>
      <c r="AF61" s="1" t="s">
        <v>283</v>
      </c>
      <c r="AG61" s="1" t="s">
        <v>284</v>
      </c>
      <c r="AH61" s="1" t="s">
        <v>285</v>
      </c>
      <c r="AI61" s="1" t="s">
        <v>283</v>
      </c>
      <c r="AJ61" s="1" t="s">
        <v>284</v>
      </c>
      <c r="AK61" s="1" t="s">
        <v>285</v>
      </c>
    </row>
    <row r="62" customFormat="false" ht="14.25" hidden="true" customHeight="true" outlineLevel="0" collapsed="false">
      <c r="A62" s="1" t="s">
        <v>312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customFormat="false" ht="14.25" hidden="true" customHeight="true" outlineLevel="0" collapsed="false">
      <c r="A63" s="1" t="s">
        <v>277</v>
      </c>
      <c r="B63" s="1"/>
      <c r="C63" s="1"/>
      <c r="D63" s="1"/>
      <c r="E63" s="1"/>
      <c r="F63" s="1"/>
      <c r="G63" s="1"/>
      <c r="H63" s="1"/>
      <c r="I63" s="1"/>
      <c r="J63" s="1"/>
      <c r="K63" s="127" t="n">
        <v>0.03</v>
      </c>
      <c r="L63" s="127" t="n">
        <v>0.04</v>
      </c>
      <c r="M63" s="127" t="n">
        <v>0.055</v>
      </c>
      <c r="N63" s="127" t="n">
        <v>0.008</v>
      </c>
      <c r="O63" s="127" t="n">
        <v>0.008</v>
      </c>
      <c r="P63" s="127" t="n">
        <v>0.01</v>
      </c>
      <c r="Q63" s="127" t="n">
        <v>0.0097</v>
      </c>
      <c r="R63" s="127" t="n">
        <v>0.0127</v>
      </c>
      <c r="S63" s="127" t="n">
        <v>0.0127</v>
      </c>
      <c r="T63" s="127" t="n">
        <v>0.0059</v>
      </c>
      <c r="U63" s="127" t="n">
        <v>0.0123</v>
      </c>
      <c r="V63" s="127" t="n">
        <v>0.0139</v>
      </c>
      <c r="W63" s="127" t="n">
        <v>0.0616</v>
      </c>
      <c r="X63" s="127" t="n">
        <v>0.074</v>
      </c>
      <c r="Y63" s="127" t="n">
        <v>0.0896</v>
      </c>
      <c r="Z63" s="127" t="n">
        <v>0</v>
      </c>
      <c r="AA63" s="127" t="n">
        <v>0</v>
      </c>
      <c r="AB63" s="127" t="n">
        <v>0</v>
      </c>
      <c r="AC63" s="127" t="n">
        <v>0</v>
      </c>
      <c r="AD63" s="127" t="n">
        <v>0</v>
      </c>
      <c r="AE63" s="127" t="n">
        <v>0</v>
      </c>
      <c r="AF63" s="127" t="n">
        <v>0</v>
      </c>
      <c r="AG63" s="127" t="n">
        <v>0</v>
      </c>
      <c r="AH63" s="127" t="n">
        <v>0</v>
      </c>
      <c r="AI63" s="127" t="n">
        <v>0.2034</v>
      </c>
      <c r="AJ63" s="127" t="n">
        <v>0.2212</v>
      </c>
      <c r="AK63" s="127" t="n">
        <v>0.25</v>
      </c>
    </row>
    <row r="64" customFormat="false" ht="14.25" hidden="true" customHeight="true" outlineLevel="0" collapsed="false">
      <c r="A64" s="1" t="s">
        <v>313</v>
      </c>
      <c r="B64" s="1"/>
      <c r="C64" s="1"/>
      <c r="D64" s="1"/>
      <c r="E64" s="1"/>
      <c r="F64" s="1"/>
      <c r="G64" s="1"/>
      <c r="H64" s="1"/>
      <c r="I64" s="1"/>
      <c r="J64" s="1"/>
      <c r="K64" s="127" t="n">
        <v>0.038</v>
      </c>
      <c r="L64" s="127" t="n">
        <v>0.0401</v>
      </c>
      <c r="M64" s="127" t="n">
        <v>0.0467</v>
      </c>
      <c r="N64" s="127" t="n">
        <v>0.0032</v>
      </c>
      <c r="O64" s="127" t="n">
        <v>0.004</v>
      </c>
      <c r="P64" s="127" t="n">
        <v>0.0074</v>
      </c>
      <c r="Q64" s="127" t="n">
        <v>0.005</v>
      </c>
      <c r="R64" s="127" t="n">
        <v>0.0056</v>
      </c>
      <c r="S64" s="127" t="n">
        <v>0.0097</v>
      </c>
      <c r="T64" s="127" t="n">
        <v>0.0102</v>
      </c>
      <c r="U64" s="127" t="n">
        <v>0.0111</v>
      </c>
      <c r="V64" s="127" t="n">
        <v>0.0121</v>
      </c>
      <c r="W64" s="127" t="n">
        <v>0.0664</v>
      </c>
      <c r="X64" s="127" t="n">
        <v>0.073</v>
      </c>
      <c r="Y64" s="127" t="n">
        <v>0.0869</v>
      </c>
      <c r="Z64" s="127" t="n">
        <v>0</v>
      </c>
      <c r="AA64" s="127" t="n">
        <v>0</v>
      </c>
      <c r="AB64" s="127" t="n">
        <v>0</v>
      </c>
      <c r="AC64" s="127" t="n">
        <v>0</v>
      </c>
      <c r="AD64" s="127" t="n">
        <v>0</v>
      </c>
      <c r="AE64" s="127" t="n">
        <v>0</v>
      </c>
      <c r="AF64" s="127" t="n">
        <v>0</v>
      </c>
      <c r="AG64" s="127" t="n">
        <v>0</v>
      </c>
      <c r="AH64" s="127" t="n">
        <v>0</v>
      </c>
      <c r="AI64" s="127" t="n">
        <v>0.196</v>
      </c>
      <c r="AJ64" s="127" t="n">
        <v>0.2097</v>
      </c>
      <c r="AK64" s="127" t="n">
        <v>0.2423</v>
      </c>
    </row>
    <row r="65" customFormat="false" ht="14.25" hidden="true" customHeight="true" outlineLevel="0" collapsed="false">
      <c r="A65" s="1" t="s">
        <v>314</v>
      </c>
      <c r="B65" s="1"/>
      <c r="C65" s="1"/>
      <c r="D65" s="1"/>
      <c r="E65" s="1"/>
      <c r="F65" s="1"/>
      <c r="G65" s="1"/>
      <c r="H65" s="1"/>
      <c r="I65" s="1"/>
      <c r="J65" s="117"/>
      <c r="K65" s="127" t="n">
        <v>0.0343</v>
      </c>
      <c r="L65" s="127" t="n">
        <v>0.0493</v>
      </c>
      <c r="M65" s="127" t="n">
        <v>0.0671</v>
      </c>
      <c r="N65" s="127" t="n">
        <v>0.0028</v>
      </c>
      <c r="O65" s="127" t="n">
        <v>0.0049</v>
      </c>
      <c r="P65" s="127" t="n">
        <v>0.0075</v>
      </c>
      <c r="Q65" s="127" t="n">
        <v>0.01</v>
      </c>
      <c r="R65" s="127" t="n">
        <v>0.0139</v>
      </c>
      <c r="S65" s="127" t="n">
        <v>0.0174</v>
      </c>
      <c r="T65" s="127" t="n">
        <v>0.0094</v>
      </c>
      <c r="U65" s="127" t="n">
        <v>0.0099</v>
      </c>
      <c r="V65" s="127" t="n">
        <v>0.0117</v>
      </c>
      <c r="W65" s="127" t="n">
        <v>0.0674</v>
      </c>
      <c r="X65" s="127" t="n">
        <v>0.0804</v>
      </c>
      <c r="Y65" s="127" t="n">
        <v>0.094</v>
      </c>
      <c r="Z65" s="127" t="n">
        <v>0</v>
      </c>
      <c r="AA65" s="127" t="n">
        <v>0</v>
      </c>
      <c r="AB65" s="127" t="n">
        <v>0</v>
      </c>
      <c r="AC65" s="127" t="n">
        <v>0</v>
      </c>
      <c r="AD65" s="127" t="n">
        <v>0</v>
      </c>
      <c r="AE65" s="127" t="n">
        <v>0</v>
      </c>
      <c r="AF65" s="127" t="n">
        <v>0</v>
      </c>
      <c r="AG65" s="127" t="n">
        <v>0</v>
      </c>
      <c r="AH65" s="127" t="n">
        <v>0</v>
      </c>
      <c r="AI65" s="127" t="n">
        <v>0.2076</v>
      </c>
      <c r="AJ65" s="127" t="n">
        <v>0.2418</v>
      </c>
      <c r="AK65" s="127" t="n">
        <v>0.2644</v>
      </c>
    </row>
    <row r="66" customFormat="false" ht="14.25" hidden="true" customHeight="true" outlineLevel="0" collapsed="false">
      <c r="A66" s="1" t="s">
        <v>315</v>
      </c>
      <c r="B66" s="1"/>
      <c r="C66" s="1"/>
      <c r="D66" s="1"/>
      <c r="E66" s="1"/>
      <c r="F66" s="1"/>
      <c r="G66" s="1"/>
      <c r="H66" s="1"/>
      <c r="I66" s="1"/>
      <c r="J66" s="117"/>
      <c r="K66" s="127" t="n">
        <v>0.0529</v>
      </c>
      <c r="L66" s="127" t="n">
        <v>0.0592</v>
      </c>
      <c r="M66" s="127" t="n">
        <v>0.0793</v>
      </c>
      <c r="N66" s="127" t="n">
        <v>0.0025</v>
      </c>
      <c r="O66" s="127" t="n">
        <v>0.0051</v>
      </c>
      <c r="P66" s="127" t="n">
        <v>0.0056</v>
      </c>
      <c r="Q66" s="127" t="n">
        <v>0.01</v>
      </c>
      <c r="R66" s="127" t="n">
        <v>0.0148</v>
      </c>
      <c r="S66" s="127" t="n">
        <v>0.0197</v>
      </c>
      <c r="T66" s="127" t="n">
        <v>0.0101</v>
      </c>
      <c r="U66" s="127" t="n">
        <v>0.0107</v>
      </c>
      <c r="V66" s="127" t="n">
        <v>0.0111</v>
      </c>
      <c r="W66" s="127" t="n">
        <v>0.08</v>
      </c>
      <c r="X66" s="127" t="n">
        <v>0.0831</v>
      </c>
      <c r="Y66" s="127" t="n">
        <v>0.0951</v>
      </c>
      <c r="Z66" s="127" t="n">
        <v>0</v>
      </c>
      <c r="AA66" s="127" t="n">
        <v>0</v>
      </c>
      <c r="AB66" s="127" t="n">
        <v>0</v>
      </c>
      <c r="AC66" s="127" t="n">
        <v>0</v>
      </c>
      <c r="AD66" s="127" t="n">
        <v>0</v>
      </c>
      <c r="AE66" s="127" t="n">
        <v>0</v>
      </c>
      <c r="AF66" s="127" t="n">
        <v>0</v>
      </c>
      <c r="AG66" s="127" t="n">
        <v>0</v>
      </c>
      <c r="AH66" s="127" t="n">
        <v>0</v>
      </c>
      <c r="AI66" s="127" t="n">
        <v>0.24</v>
      </c>
      <c r="AJ66" s="127" t="n">
        <v>0.2584</v>
      </c>
      <c r="AK66" s="127" t="n">
        <v>0.2786</v>
      </c>
    </row>
    <row r="67" customFormat="false" ht="14.25" hidden="true" customHeight="true" outlineLevel="0" collapsed="false">
      <c r="A67" s="1" t="s">
        <v>316</v>
      </c>
      <c r="B67" s="1"/>
      <c r="C67" s="1"/>
      <c r="D67" s="1"/>
      <c r="E67" s="1"/>
      <c r="F67" s="1"/>
      <c r="G67" s="1"/>
      <c r="H67" s="1"/>
      <c r="I67" s="1"/>
      <c r="J67" s="117"/>
      <c r="K67" s="127" t="n">
        <v>0.04</v>
      </c>
      <c r="L67" s="127" t="n">
        <v>0.0552</v>
      </c>
      <c r="M67" s="127" t="n">
        <v>0.0785</v>
      </c>
      <c r="N67" s="127" t="n">
        <v>0.0081</v>
      </c>
      <c r="O67" s="127" t="n">
        <v>0.0122</v>
      </c>
      <c r="P67" s="127" t="n">
        <v>0.0199</v>
      </c>
      <c r="Q67" s="127" t="n">
        <v>0.0146</v>
      </c>
      <c r="R67" s="127" t="n">
        <v>0.0232</v>
      </c>
      <c r="S67" s="127" t="n">
        <v>0.0316</v>
      </c>
      <c r="T67" s="127" t="n">
        <v>0.0094</v>
      </c>
      <c r="U67" s="127" t="n">
        <v>0.0102</v>
      </c>
      <c r="V67" s="127" t="n">
        <v>0.0133</v>
      </c>
      <c r="W67" s="127" t="n">
        <v>0.0714</v>
      </c>
      <c r="X67" s="127" t="n">
        <v>0.084</v>
      </c>
      <c r="Y67" s="127" t="n">
        <v>0.1043</v>
      </c>
      <c r="Z67" s="127" t="n">
        <v>0</v>
      </c>
      <c r="AA67" s="127" t="n">
        <v>0</v>
      </c>
      <c r="AB67" s="127" t="n">
        <v>0</v>
      </c>
      <c r="AC67" s="127" t="n">
        <v>0</v>
      </c>
      <c r="AD67" s="127" t="n">
        <v>0</v>
      </c>
      <c r="AE67" s="127" t="n">
        <v>0</v>
      </c>
      <c r="AF67" s="127" t="n">
        <v>0</v>
      </c>
      <c r="AG67" s="127" t="n">
        <v>0</v>
      </c>
      <c r="AH67" s="127" t="n">
        <v>0</v>
      </c>
      <c r="AI67" s="127" t="n">
        <v>0.228</v>
      </c>
      <c r="AJ67" s="127" t="n">
        <v>0.2748</v>
      </c>
      <c r="AK67" s="127" t="n">
        <v>0.3095</v>
      </c>
    </row>
    <row r="68" customFormat="false" ht="14.25" hidden="true" customHeight="true" outlineLevel="0" collapsed="false">
      <c r="A68" s="1" t="s">
        <v>317</v>
      </c>
      <c r="B68" s="1"/>
      <c r="C68" s="1"/>
      <c r="D68" s="1"/>
      <c r="E68" s="1"/>
      <c r="F68" s="1"/>
      <c r="G68" s="1"/>
      <c r="H68" s="1"/>
      <c r="I68" s="1"/>
      <c r="J68" s="117"/>
      <c r="K68" s="127" t="n">
        <v>0.015</v>
      </c>
      <c r="L68" s="127" t="n">
        <v>0.0345</v>
      </c>
      <c r="M68" s="127" t="n">
        <v>0.0449</v>
      </c>
      <c r="N68" s="127" t="n">
        <v>0.003</v>
      </c>
      <c r="O68" s="127" t="n">
        <v>0.0048</v>
      </c>
      <c r="P68" s="127" t="n">
        <v>0.0082</v>
      </c>
      <c r="Q68" s="127" t="n">
        <v>0.0056</v>
      </c>
      <c r="R68" s="127" t="n">
        <v>0.0085</v>
      </c>
      <c r="S68" s="127" t="n">
        <v>0.0089</v>
      </c>
      <c r="T68" s="127" t="n">
        <v>0.0085</v>
      </c>
      <c r="U68" s="127" t="n">
        <v>0.0085</v>
      </c>
      <c r="V68" s="127" t="n">
        <v>0.0111</v>
      </c>
      <c r="W68" s="127" t="n">
        <v>0.035</v>
      </c>
      <c r="X68" s="127" t="n">
        <v>0.0511</v>
      </c>
      <c r="Y68" s="127" t="n">
        <v>0.0622</v>
      </c>
      <c r="Z68" s="127" t="n">
        <v>0</v>
      </c>
      <c r="AA68" s="127" t="n">
        <v>0</v>
      </c>
      <c r="AB68" s="127" t="n">
        <v>0</v>
      </c>
      <c r="AC68" s="127" t="n">
        <v>0</v>
      </c>
      <c r="AD68" s="127" t="n">
        <v>0</v>
      </c>
      <c r="AE68" s="127" t="n">
        <v>0</v>
      </c>
      <c r="AF68" s="127" t="n">
        <v>0</v>
      </c>
      <c r="AG68" s="127" t="n">
        <v>0</v>
      </c>
      <c r="AH68" s="127" t="n">
        <v>0</v>
      </c>
      <c r="AI68" s="127" t="n">
        <v>0.111</v>
      </c>
      <c r="AJ68" s="127" t="n">
        <v>0.1402</v>
      </c>
      <c r="AK68" s="127" t="n">
        <v>0.168</v>
      </c>
    </row>
    <row r="69" customFormat="false" ht="14.25" hidden="true" customHeight="true" outlineLevel="0" collapsed="false">
      <c r="A69" s="1" t="s">
        <v>318</v>
      </c>
      <c r="B69" s="1"/>
      <c r="C69" s="1"/>
      <c r="D69" s="1"/>
      <c r="E69" s="1"/>
      <c r="F69" s="1"/>
      <c r="G69" s="1"/>
      <c r="H69" s="1"/>
      <c r="I69" s="1"/>
      <c r="J69" s="117"/>
      <c r="K69" s="127" t="n">
        <v>0</v>
      </c>
      <c r="L69" s="127" t="n">
        <v>0</v>
      </c>
      <c r="M69" s="127" t="n">
        <v>0</v>
      </c>
      <c r="N69" s="127" t="n">
        <v>0</v>
      </c>
      <c r="O69" s="127" t="n">
        <v>0</v>
      </c>
      <c r="P69" s="127" t="n">
        <v>0</v>
      </c>
      <c r="Q69" s="127" t="n">
        <v>0</v>
      </c>
      <c r="R69" s="127" t="n">
        <v>0</v>
      </c>
      <c r="S69" s="127" t="n">
        <v>0</v>
      </c>
      <c r="T69" s="127" t="n">
        <v>0</v>
      </c>
      <c r="U69" s="127" t="n">
        <v>0</v>
      </c>
      <c r="V69" s="127" t="n">
        <v>0</v>
      </c>
      <c r="W69" s="127" t="n">
        <v>0</v>
      </c>
      <c r="X69" s="127" t="n">
        <v>0</v>
      </c>
      <c r="Y69" s="127" t="n">
        <v>0</v>
      </c>
      <c r="Z69" s="127" t="n">
        <v>0</v>
      </c>
      <c r="AA69" s="127" t="n">
        <v>0</v>
      </c>
      <c r="AB69" s="127" t="n">
        <v>0</v>
      </c>
      <c r="AC69" s="127" t="n">
        <v>0</v>
      </c>
      <c r="AD69" s="127" t="n">
        <v>0</v>
      </c>
      <c r="AE69" s="127" t="n">
        <v>0</v>
      </c>
      <c r="AF69" s="127" t="n">
        <v>0</v>
      </c>
      <c r="AG69" s="127" t="n">
        <v>0</v>
      </c>
      <c r="AH69" s="127" t="n">
        <v>0</v>
      </c>
      <c r="AI69" s="127" t="n">
        <v>0</v>
      </c>
      <c r="AJ69" s="127" t="n">
        <v>0</v>
      </c>
      <c r="AK69" s="127" t="n">
        <v>0</v>
      </c>
    </row>
    <row r="70" customFormat="false" ht="14.25" hidden="true" customHeight="true" outlineLevel="0" collapsed="false">
      <c r="A70" s="1" t="s">
        <v>319</v>
      </c>
      <c r="B70" s="1"/>
      <c r="C70" s="1"/>
      <c r="D70" s="1"/>
      <c r="E70" s="1"/>
      <c r="F70" s="1"/>
      <c r="G70" s="1"/>
      <c r="H70" s="1"/>
      <c r="I70" s="1"/>
      <c r="J70" s="127"/>
      <c r="K70" s="127" t="n">
        <v>0</v>
      </c>
      <c r="L70" s="127" t="n">
        <v>0</v>
      </c>
      <c r="M70" s="127" t="n">
        <v>0</v>
      </c>
      <c r="N70" s="127" t="n">
        <v>0</v>
      </c>
      <c r="O70" s="127" t="n">
        <v>0</v>
      </c>
      <c r="P70" s="127" t="n">
        <v>0</v>
      </c>
      <c r="Q70" s="127" t="n">
        <v>0</v>
      </c>
      <c r="R70" s="127" t="n">
        <v>0</v>
      </c>
      <c r="S70" s="127" t="n">
        <v>0</v>
      </c>
      <c r="T70" s="127" t="n">
        <v>0</v>
      </c>
      <c r="U70" s="127" t="n">
        <v>0</v>
      </c>
      <c r="V70" s="127" t="n">
        <v>0</v>
      </c>
      <c r="W70" s="127" t="n">
        <v>0</v>
      </c>
      <c r="X70" s="127" t="n">
        <v>0</v>
      </c>
      <c r="Y70" s="127" t="n">
        <v>0</v>
      </c>
      <c r="Z70" s="127" t="n">
        <v>0</v>
      </c>
      <c r="AA70" s="127" t="n">
        <v>0</v>
      </c>
      <c r="AB70" s="127" t="n">
        <v>0</v>
      </c>
      <c r="AC70" s="127" t="n">
        <v>0</v>
      </c>
      <c r="AD70" s="127" t="n">
        <v>0.2</v>
      </c>
      <c r="AE70" s="127" t="n">
        <v>0</v>
      </c>
      <c r="AF70" s="127" t="n">
        <v>0</v>
      </c>
      <c r="AG70" s="127" t="n">
        <v>0.12</v>
      </c>
      <c r="AH70" s="127" t="n">
        <v>0</v>
      </c>
      <c r="AI70" s="127" t="n">
        <v>0</v>
      </c>
      <c r="AJ70" s="127" t="n">
        <v>0</v>
      </c>
      <c r="AK70" s="127" t="n">
        <v>0</v>
      </c>
    </row>
    <row r="71" customFormat="false" ht="14.25" hidden="false" customHeight="true" outlineLevel="0" collapsed="false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customFormat="false" ht="14.25" hidden="false" customHeight="true" outlineLevel="0" collapsed="false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customFormat="false" ht="14.25" hidden="false" customHeight="true" outlineLevel="0" collapsed="false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customFormat="false" ht="14.25" hidden="false" customHeight="true" outlineLevel="0" collapsed="false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customFormat="false" ht="14.25" hidden="false" customHeight="true" outlineLevel="0" collapsed="false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customFormat="false" ht="14.25" hidden="false" customHeight="true" outlineLevel="0" collapsed="false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customFormat="false" ht="14.25" hidden="false" customHeight="true" outlineLevel="0" collapsed="false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customFormat="false" ht="14.25" hidden="false" customHeight="true" outlineLevel="0" collapsed="false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customFormat="false" ht="14.25" hidden="false" customHeight="true" outlineLevel="0" collapsed="false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customFormat="false" ht="14.25" hidden="false" customHeight="true" outlineLevel="0" collapsed="false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customFormat="false" ht="14.25" hidden="false" customHeight="true" outlineLevel="0" collapsed="false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customFormat="false" ht="14.25" hidden="false" customHeight="true" outlineLevel="0" collapsed="false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customFormat="false" ht="14.25" hidden="false" customHeight="true" outlineLevel="0" collapsed="false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customFormat="false" ht="14.25" hidden="false" customHeight="true" outlineLevel="0" collapsed="false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customFormat="false" ht="14.25" hidden="false" customHeight="true" outlineLevel="0" collapsed="false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customFormat="false" ht="14.25" hidden="false" customHeight="true" outlineLevel="0" collapsed="false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customFormat="false" ht="14.25" hidden="false" customHeight="true" outlineLevel="0" collapsed="false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customFormat="false" ht="14.25" hidden="false" customHeight="true" outlineLevel="0" collapsed="false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customFormat="false" ht="14.25" hidden="false" customHeight="true" outlineLevel="0" collapsed="false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customFormat="false" ht="14.25" hidden="false" customHeight="true" outlineLevel="0" collapsed="false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customFormat="false" ht="14.25" hidden="false" customHeight="true" outlineLevel="0" collapsed="false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customFormat="false" ht="14.25" hidden="false" customHeight="true" outlineLevel="0" collapsed="false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customFormat="false" ht="14.25" hidden="false" customHeight="true" outlineLevel="0" collapsed="false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customFormat="false" ht="14.25" hidden="false" customHeight="true" outlineLevel="0" collapsed="false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customFormat="false" ht="14.25" hidden="false" customHeight="true" outlineLevel="0" collapsed="false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customFormat="false" ht="14.25" hidden="false" customHeight="true" outlineLevel="0" collapsed="false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customFormat="false" ht="14.25" hidden="false" customHeight="true" outlineLevel="0" collapsed="false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customFormat="false" ht="14.25" hidden="false" customHeight="true" outlineLevel="0" collapsed="false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customFormat="false" ht="14.25" hidden="false" customHeight="true" outlineLevel="0" collapsed="false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customFormat="false" ht="14.25" hidden="false" customHeight="true" outlineLevel="0" collapsed="false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customFormat="false" ht="14.25" hidden="false" customHeight="true" outlineLevel="0" collapsed="false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customFormat="false" ht="14.25" hidden="false" customHeight="true" outlineLevel="0" collapsed="false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customFormat="false" ht="14.25" hidden="false" customHeight="true" outlineLevel="0" collapsed="false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customFormat="false" ht="14.25" hidden="false" customHeight="true" outlineLevel="0" collapsed="false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customFormat="false" ht="14.25" hidden="false" customHeight="true" outlineLevel="0" collapsed="false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customFormat="false" ht="14.25" hidden="false" customHeight="true" outlineLevel="0" collapsed="false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customFormat="false" ht="14.25" hidden="false" customHeight="true" outlineLevel="0" collapsed="false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customFormat="false" ht="14.25" hidden="false" customHeight="true" outlineLevel="0" collapsed="false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customFormat="false" ht="14.25" hidden="false" customHeight="true" outlineLevel="0" collapsed="false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customFormat="false" ht="14.25" hidden="false" customHeight="true" outlineLevel="0" collapsed="false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customFormat="false" ht="14.25" hidden="false" customHeight="true" outlineLevel="0" collapsed="false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customFormat="false" ht="14.25" hidden="false" customHeight="true" outlineLevel="0" collapsed="false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customFormat="false" ht="14.25" hidden="false" customHeight="true" outlineLevel="0" collapsed="false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customFormat="false" ht="14.25" hidden="false" customHeight="true" outlineLevel="0" collapsed="false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customFormat="false" ht="14.25" hidden="false" customHeight="true" outlineLevel="0" collapsed="false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customFormat="false" ht="14.25" hidden="false" customHeight="true" outlineLevel="0" collapsed="false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customFormat="false" ht="14.25" hidden="false" customHeight="true" outlineLevel="0" collapsed="false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customFormat="false" ht="14.25" hidden="false" customHeight="true" outlineLevel="0" collapsed="false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customFormat="false" ht="14.25" hidden="false" customHeight="true" outlineLevel="0" collapsed="false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customFormat="false" ht="14.25" hidden="false" customHeight="true" outlineLevel="0" collapsed="false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customFormat="false" ht="14.25" hidden="false" customHeight="true" outlineLevel="0" collapsed="false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customFormat="false" ht="14.25" hidden="false" customHeight="true" outlineLevel="0" collapsed="false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customFormat="false" ht="14.25" hidden="false" customHeight="true" outlineLevel="0" collapsed="false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customFormat="false" ht="14.25" hidden="false" customHeight="true" outlineLevel="0" collapsed="false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customFormat="false" ht="14.25" hidden="false" customHeight="true" outlineLevel="0" collapsed="false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customFormat="false" ht="14.25" hidden="false" customHeight="true" outlineLevel="0" collapsed="false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customFormat="false" ht="14.25" hidden="false" customHeight="true" outlineLevel="0" collapsed="false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customFormat="false" ht="14.25" hidden="false" customHeight="true" outlineLevel="0" collapsed="false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customFormat="false" ht="14.25" hidden="false" customHeight="true" outlineLevel="0" collapsed="false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customFormat="false" ht="14.25" hidden="false" customHeight="true" outlineLevel="0" collapsed="false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customFormat="false" ht="14.25" hidden="false" customHeight="true" outlineLevel="0" collapsed="false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customFormat="false" ht="14.25" hidden="false" customHeight="true" outlineLevel="0" collapsed="false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customFormat="false" ht="14.25" hidden="false" customHeight="true" outlineLevel="0" collapsed="false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customFormat="false" ht="14.25" hidden="false" customHeight="true" outlineLevel="0" collapsed="false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customFormat="false" ht="14.25" hidden="false" customHeight="true" outlineLevel="0" collapsed="false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customFormat="false" ht="14.25" hidden="false" customHeight="true" outlineLevel="0" collapsed="false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customFormat="false" ht="14.25" hidden="false" customHeight="true" outlineLevel="0" collapsed="false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customFormat="false" ht="14.25" hidden="false" customHeight="true" outlineLevel="0" collapsed="false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customFormat="false" ht="14.25" hidden="false" customHeight="true" outlineLevel="0" collapsed="false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customFormat="false" ht="14.25" hidden="false" customHeight="true" outlineLevel="0" collapsed="false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customFormat="false" ht="14.25" hidden="false" customHeight="true" outlineLevel="0" collapsed="false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customFormat="false" ht="14.25" hidden="false" customHeight="true" outlineLevel="0" collapsed="false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customFormat="false" ht="14.25" hidden="false" customHeight="true" outlineLevel="0" collapsed="false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customFormat="false" ht="14.25" hidden="false" customHeight="true" outlineLevel="0" collapsed="false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customFormat="false" ht="14.25" hidden="false" customHeight="true" outlineLevel="0" collapsed="false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customFormat="false" ht="14.25" hidden="false" customHeight="true" outlineLevel="0" collapsed="false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customFormat="false" ht="14.25" hidden="false" customHeight="true" outlineLevel="0" collapsed="false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customFormat="false" ht="14.25" hidden="false" customHeight="true" outlineLevel="0" collapsed="false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customFormat="false" ht="14.25" hidden="false" customHeight="true" outlineLevel="0" collapsed="false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customFormat="false" ht="14.25" hidden="false" customHeight="true" outlineLevel="0" collapsed="false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customFormat="false" ht="14.25" hidden="false" customHeight="true" outlineLevel="0" collapsed="false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customFormat="false" ht="14.25" hidden="false" customHeight="true" outlineLevel="0" collapsed="false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customFormat="false" ht="14.25" hidden="false" customHeight="true" outlineLevel="0" collapsed="false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customFormat="false" ht="14.25" hidden="false" customHeight="true" outlineLevel="0" collapsed="false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customFormat="false" ht="14.25" hidden="false" customHeight="true" outlineLevel="0" collapsed="false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customFormat="false" ht="14.25" hidden="false" customHeight="true" outlineLevel="0" collapsed="false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customFormat="false" ht="14.25" hidden="false" customHeight="true" outlineLevel="0" collapsed="false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customFormat="false" ht="14.25" hidden="false" customHeight="true" outlineLevel="0" collapsed="false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customFormat="false" ht="14.25" hidden="false" customHeight="true" outlineLevel="0" collapsed="false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customFormat="false" ht="14.25" hidden="false" customHeight="true" outlineLevel="0" collapsed="false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customFormat="false" ht="14.25" hidden="false" customHeight="true" outlineLevel="0" collapsed="false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customFormat="false" ht="14.25" hidden="false" customHeight="true" outlineLevel="0" collapsed="false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customFormat="false" ht="14.25" hidden="false" customHeight="true" outlineLevel="0" collapsed="false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customFormat="false" ht="14.25" hidden="false" customHeight="true" outlineLevel="0" collapsed="false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customFormat="false" ht="14.25" hidden="false" customHeight="true" outlineLevel="0" collapsed="false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customFormat="false" ht="14.25" hidden="false" customHeight="true" outlineLevel="0" collapsed="false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customFormat="false" ht="14.25" hidden="false" customHeight="true" outlineLevel="0" collapsed="false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customFormat="false" ht="14.25" hidden="false" customHeight="true" outlineLevel="0" collapsed="false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customFormat="false" ht="14.25" hidden="false" customHeight="true" outlineLevel="0" collapsed="false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customFormat="false" ht="14.25" hidden="false" customHeight="true" outlineLevel="0" collapsed="false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customFormat="false" ht="14.25" hidden="false" customHeight="true" outlineLevel="0" collapsed="false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customFormat="false" ht="14.25" hidden="false" customHeight="true" outlineLevel="0" collapsed="false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customFormat="false" ht="14.25" hidden="false" customHeight="true" outlineLevel="0" collapsed="false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customFormat="false" ht="14.25" hidden="false" customHeight="true" outlineLevel="0" collapsed="false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customFormat="false" ht="14.25" hidden="false" customHeight="true" outlineLevel="0" collapsed="false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customFormat="false" ht="14.25" hidden="false" customHeight="true" outlineLevel="0" collapsed="false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customFormat="false" ht="14.25" hidden="false" customHeight="true" outlineLevel="0" collapsed="false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customFormat="false" ht="14.25" hidden="false" customHeight="true" outlineLevel="0" collapsed="false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customFormat="false" ht="14.25" hidden="false" customHeight="true" outlineLevel="0" collapsed="false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customFormat="false" ht="14.25" hidden="false" customHeight="true" outlineLevel="0" collapsed="false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customFormat="false" ht="14.25" hidden="false" customHeight="true" outlineLevel="0" collapsed="false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customFormat="false" ht="14.25" hidden="false" customHeight="true" outlineLevel="0" collapsed="false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customFormat="false" ht="14.25" hidden="false" customHeight="true" outlineLevel="0" collapsed="false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customFormat="false" ht="14.25" hidden="false" customHeight="true" outlineLevel="0" collapsed="false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customFormat="false" ht="14.25" hidden="false" customHeight="true" outlineLevel="0" collapsed="false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customFormat="false" ht="14.25" hidden="false" customHeight="true" outlineLevel="0" collapsed="false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customFormat="false" ht="14.25" hidden="false" customHeight="true" outlineLevel="0" collapsed="false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customFormat="false" ht="14.25" hidden="false" customHeight="true" outlineLevel="0" collapsed="false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customFormat="false" ht="14.25" hidden="false" customHeight="true" outlineLevel="0" collapsed="false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customFormat="false" ht="14.25" hidden="false" customHeight="true" outlineLevel="0" collapsed="false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customFormat="false" ht="14.25" hidden="false" customHeight="true" outlineLevel="0" collapsed="false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customFormat="false" ht="14.25" hidden="false" customHeight="true" outlineLevel="0" collapsed="false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customFormat="false" ht="14.25" hidden="false" customHeight="true" outlineLevel="0" collapsed="false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customFormat="false" ht="14.25" hidden="false" customHeight="true" outlineLevel="0" collapsed="false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customFormat="false" ht="14.25" hidden="false" customHeight="true" outlineLevel="0" collapsed="false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customFormat="false" ht="14.25" hidden="false" customHeight="true" outlineLevel="0" collapsed="false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customFormat="false" ht="14.25" hidden="false" customHeight="true" outlineLevel="0" collapsed="false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customFormat="false" ht="14.25" hidden="false" customHeight="true" outlineLevel="0" collapsed="false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customFormat="false" ht="14.25" hidden="false" customHeight="true" outlineLevel="0" collapsed="false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customFormat="false" ht="14.25" hidden="false" customHeight="true" outlineLevel="0" collapsed="false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customFormat="false" ht="14.25" hidden="false" customHeight="true" outlineLevel="0" collapsed="false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customFormat="false" ht="14.25" hidden="false" customHeight="true" outlineLevel="0" collapsed="false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customFormat="false" ht="14.25" hidden="false" customHeight="true" outlineLevel="0" collapsed="false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customFormat="false" ht="14.25" hidden="false" customHeight="true" outlineLevel="0" collapsed="false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customFormat="false" ht="14.25" hidden="false" customHeight="true" outlineLevel="0" collapsed="false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customFormat="false" ht="14.25" hidden="false" customHeight="true" outlineLevel="0" collapsed="false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customFormat="false" ht="14.25" hidden="false" customHeight="true" outlineLevel="0" collapsed="false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customFormat="false" ht="14.25" hidden="false" customHeight="true" outlineLevel="0" collapsed="false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customFormat="false" ht="14.25" hidden="false" customHeight="true" outlineLevel="0" collapsed="false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customFormat="false" ht="14.25" hidden="false" customHeight="true" outlineLevel="0" collapsed="false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customFormat="false" ht="14.25" hidden="false" customHeight="true" outlineLevel="0" collapsed="false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customFormat="false" ht="14.25" hidden="false" customHeight="true" outlineLevel="0" collapsed="false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customFormat="false" ht="14.25" hidden="false" customHeight="true" outlineLevel="0" collapsed="false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customFormat="false" ht="14.25" hidden="false" customHeight="true" outlineLevel="0" collapsed="false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customFormat="false" ht="14.25" hidden="false" customHeight="true" outlineLevel="0" collapsed="false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customFormat="false" ht="14.25" hidden="false" customHeight="true" outlineLevel="0" collapsed="false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customFormat="false" ht="14.25" hidden="false" customHeight="true" outlineLevel="0" collapsed="false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customFormat="false" ht="14.25" hidden="false" customHeight="true" outlineLevel="0" collapsed="false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customFormat="false" ht="14.25" hidden="false" customHeight="true" outlineLevel="0" collapsed="false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customFormat="false" ht="14.25" hidden="false" customHeight="true" outlineLevel="0" collapsed="false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customFormat="false" ht="14.25" hidden="false" customHeight="true" outlineLevel="0" collapsed="false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customFormat="false" ht="14.25" hidden="false" customHeight="true" outlineLevel="0" collapsed="false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customFormat="false" ht="14.25" hidden="false" customHeight="true" outlineLevel="0" collapsed="false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customFormat="false" ht="14.25" hidden="false" customHeight="true" outlineLevel="0" collapsed="false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customFormat="false" ht="14.25" hidden="false" customHeight="true" outlineLevel="0" collapsed="false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customFormat="false" ht="14.25" hidden="false" customHeight="true" outlineLevel="0" collapsed="false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customFormat="false" ht="14.25" hidden="false" customHeight="true" outlineLevel="0" collapsed="false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customFormat="false" ht="14.25" hidden="false" customHeight="true" outlineLevel="0" collapsed="false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customFormat="false" ht="14.25" hidden="false" customHeight="true" outlineLevel="0" collapsed="false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customFormat="false" ht="14.25" hidden="false" customHeight="true" outlineLevel="0" collapsed="false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customFormat="false" ht="14.25" hidden="false" customHeight="true" outlineLevel="0" collapsed="false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customFormat="false" ht="14.25" hidden="false" customHeight="true" outlineLevel="0" collapsed="false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customFormat="false" ht="14.25" hidden="false" customHeight="true" outlineLevel="0" collapsed="false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customFormat="false" ht="14.25" hidden="false" customHeight="true" outlineLevel="0" collapsed="false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customFormat="false" ht="14.25" hidden="false" customHeight="true" outlineLevel="0" collapsed="false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customFormat="false" ht="14.25" hidden="false" customHeight="true" outlineLevel="0" collapsed="false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customFormat="false" ht="14.25" hidden="false" customHeight="true" outlineLevel="0" collapsed="false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customFormat="false" ht="14.25" hidden="false" customHeight="true" outlineLevel="0" collapsed="false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customFormat="false" ht="14.25" hidden="false" customHeight="true" outlineLevel="0" collapsed="false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customFormat="false" ht="14.25" hidden="false" customHeight="true" outlineLevel="0" collapsed="false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customFormat="false" ht="14.25" hidden="false" customHeight="true" outlineLevel="0" collapsed="false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customFormat="false" ht="14.25" hidden="false" customHeight="true" outlineLevel="0" collapsed="false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customFormat="false" ht="14.25" hidden="false" customHeight="true" outlineLevel="0" collapsed="false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customFormat="false" ht="14.25" hidden="false" customHeight="true" outlineLevel="0" collapsed="false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customFormat="false" ht="14.25" hidden="false" customHeight="true" outlineLevel="0" collapsed="false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customFormat="false" ht="14.25" hidden="false" customHeight="true" outlineLevel="0" collapsed="false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customFormat="false" ht="14.25" hidden="false" customHeight="true" outlineLevel="0" collapsed="false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customFormat="false" ht="14.25" hidden="false" customHeight="true" outlineLevel="0" collapsed="false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customFormat="false" ht="14.25" hidden="false" customHeight="true" outlineLevel="0" collapsed="false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customFormat="false" ht="14.25" hidden="false" customHeight="true" outlineLevel="0" collapsed="false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customFormat="false" ht="14.25" hidden="false" customHeight="true" outlineLevel="0" collapsed="false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customFormat="false" ht="14.25" hidden="false" customHeight="true" outlineLevel="0" collapsed="false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customFormat="false" ht="14.25" hidden="false" customHeight="true" outlineLevel="0" collapsed="false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customFormat="false" ht="14.25" hidden="false" customHeight="true" outlineLevel="0" collapsed="false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customFormat="false" ht="14.25" hidden="false" customHeight="true" outlineLevel="0" collapsed="false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customFormat="false" ht="14.25" hidden="false" customHeight="true" outlineLevel="0" collapsed="false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customFormat="false" ht="14.25" hidden="false" customHeight="true" outlineLevel="0" collapsed="false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customFormat="false" ht="14.25" hidden="false" customHeight="true" outlineLevel="0" collapsed="false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customFormat="false" ht="14.25" hidden="false" customHeight="true" outlineLevel="0" collapsed="false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customFormat="false" ht="14.25" hidden="false" customHeight="true" outlineLevel="0" collapsed="false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customFormat="false" ht="14.25" hidden="false" customHeight="true" outlineLevel="0" collapsed="false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customFormat="false" ht="14.25" hidden="false" customHeight="true" outlineLevel="0" collapsed="false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customFormat="false" ht="14.25" hidden="false" customHeight="true" outlineLevel="0" collapsed="false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customFormat="false" ht="14.25" hidden="false" customHeight="true" outlineLevel="0" collapsed="false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customFormat="false" ht="14.25" hidden="false" customHeight="true" outlineLevel="0" collapsed="false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customFormat="false" ht="14.25" hidden="false" customHeight="true" outlineLevel="0" collapsed="false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customFormat="false" ht="14.25" hidden="false" customHeight="true" outlineLevel="0" collapsed="false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customFormat="false" ht="14.25" hidden="false" customHeight="true" outlineLevel="0" collapsed="false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customFormat="false" ht="14.25" hidden="false" customHeight="true" outlineLevel="0" collapsed="false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customFormat="false" ht="14.25" hidden="false" customHeight="true" outlineLevel="0" collapsed="false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customFormat="false" ht="14.25" hidden="false" customHeight="true" outlineLevel="0" collapsed="false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customFormat="false" ht="14.25" hidden="false" customHeight="true" outlineLevel="0" collapsed="false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customFormat="false" ht="14.25" hidden="false" customHeight="true" outlineLevel="0" collapsed="false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customFormat="false" ht="14.25" hidden="false" customHeight="true" outlineLevel="0" collapsed="false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customFormat="false" ht="14.25" hidden="false" customHeight="true" outlineLevel="0" collapsed="false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customFormat="false" ht="14.25" hidden="false" customHeight="true" outlineLevel="0" collapsed="false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customFormat="false" ht="14.25" hidden="false" customHeight="true" outlineLevel="0" collapsed="false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customFormat="false" ht="14.25" hidden="false" customHeight="true" outlineLevel="0" collapsed="false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customFormat="false" ht="14.25" hidden="false" customHeight="true" outlineLevel="0" collapsed="false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customFormat="false" ht="14.25" hidden="false" customHeight="true" outlineLevel="0" collapsed="false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customFormat="false" ht="14.25" hidden="false" customHeight="true" outlineLevel="0" collapsed="false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customFormat="false" ht="14.25" hidden="false" customHeight="true" outlineLevel="0" collapsed="false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customFormat="false" ht="14.25" hidden="false" customHeight="true" outlineLevel="0" collapsed="false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customFormat="false" ht="14.25" hidden="false" customHeight="true" outlineLevel="0" collapsed="false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customFormat="false" ht="14.25" hidden="false" customHeight="true" outlineLevel="0" collapsed="false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customFormat="false" ht="14.25" hidden="false" customHeight="true" outlineLevel="0" collapsed="false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customFormat="false" ht="14.25" hidden="false" customHeight="true" outlineLevel="0" collapsed="false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customFormat="false" ht="14.25" hidden="false" customHeight="true" outlineLevel="0" collapsed="false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customFormat="false" ht="14.25" hidden="false" customHeight="true" outlineLevel="0" collapsed="false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customFormat="false" ht="14.25" hidden="false" customHeight="true" outlineLevel="0" collapsed="false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customFormat="false" ht="14.25" hidden="false" customHeight="true" outlineLevel="0" collapsed="false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customFormat="false" ht="14.25" hidden="false" customHeight="true" outlineLevel="0" collapsed="false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customFormat="false" ht="14.25" hidden="false" customHeight="true" outlineLevel="0" collapsed="false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customFormat="false" ht="14.25" hidden="false" customHeight="true" outlineLevel="0" collapsed="false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customFormat="false" ht="14.25" hidden="false" customHeight="true" outlineLevel="0" collapsed="false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customFormat="false" ht="14.25" hidden="false" customHeight="true" outlineLevel="0" collapsed="false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customFormat="false" ht="14.25" hidden="false" customHeight="true" outlineLevel="0" collapsed="false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customFormat="false" ht="14.25" hidden="false" customHeight="true" outlineLevel="0" collapsed="false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customFormat="false" ht="14.25" hidden="false" customHeight="true" outlineLevel="0" collapsed="false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customFormat="false" ht="14.25" hidden="false" customHeight="true" outlineLevel="0" collapsed="false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customFormat="false" ht="14.25" hidden="false" customHeight="true" outlineLevel="0" collapsed="false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customFormat="false" ht="14.25" hidden="false" customHeight="true" outlineLevel="0" collapsed="false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customFormat="false" ht="14.25" hidden="false" customHeight="true" outlineLevel="0" collapsed="false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customFormat="false" ht="14.25" hidden="false" customHeight="true" outlineLevel="0" collapsed="false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customFormat="false" ht="14.25" hidden="false" customHeight="true" outlineLevel="0" collapsed="false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customFormat="false" ht="14.25" hidden="false" customHeight="true" outlineLevel="0" collapsed="false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customFormat="false" ht="14.25" hidden="false" customHeight="true" outlineLevel="0" collapsed="false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customFormat="false" ht="14.25" hidden="false" customHeight="true" outlineLevel="0" collapsed="false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customFormat="false" ht="14.25" hidden="false" customHeight="true" outlineLevel="0" collapsed="false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customFormat="false" ht="14.25" hidden="false" customHeight="true" outlineLevel="0" collapsed="false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customFormat="false" ht="14.25" hidden="false" customHeight="true" outlineLevel="0" collapsed="false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customFormat="false" ht="14.25" hidden="false" customHeight="true" outlineLevel="0" collapsed="false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customFormat="false" ht="14.25" hidden="false" customHeight="true" outlineLevel="0" collapsed="false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customFormat="false" ht="14.25" hidden="false" customHeight="true" outlineLevel="0" collapsed="false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customFormat="false" ht="14.25" hidden="false" customHeight="true" outlineLevel="0" collapsed="false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customFormat="false" ht="14.25" hidden="false" customHeight="true" outlineLevel="0" collapsed="false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customFormat="false" ht="14.25" hidden="false" customHeight="true" outlineLevel="0" collapsed="false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customFormat="false" ht="14.25" hidden="false" customHeight="true" outlineLevel="0" collapsed="false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customFormat="false" ht="14.25" hidden="false" customHeight="true" outlineLevel="0" collapsed="false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customFormat="false" ht="14.25" hidden="false" customHeight="true" outlineLevel="0" collapsed="false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customFormat="false" ht="14.25" hidden="false" customHeight="true" outlineLevel="0" collapsed="false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customFormat="false" ht="14.25" hidden="false" customHeight="true" outlineLevel="0" collapsed="false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customFormat="false" ht="14.25" hidden="false" customHeight="true" outlineLevel="0" collapsed="false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customFormat="false" ht="14.25" hidden="false" customHeight="true" outlineLevel="0" collapsed="false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customFormat="false" ht="14.25" hidden="false" customHeight="true" outlineLevel="0" collapsed="false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customFormat="false" ht="14.25" hidden="false" customHeight="true" outlineLevel="0" collapsed="false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customFormat="false" ht="14.25" hidden="false" customHeight="true" outlineLevel="0" collapsed="false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customFormat="false" ht="14.25" hidden="false" customHeight="true" outlineLevel="0" collapsed="false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customFormat="false" ht="14.25" hidden="false" customHeight="true" outlineLevel="0" collapsed="false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customFormat="false" ht="14.25" hidden="false" customHeight="true" outlineLevel="0" collapsed="false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customFormat="false" ht="14.25" hidden="false" customHeight="true" outlineLevel="0" collapsed="false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customFormat="false" ht="14.25" hidden="false" customHeight="true" outlineLevel="0" collapsed="false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customFormat="false" ht="14.25" hidden="false" customHeight="true" outlineLevel="0" collapsed="false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customFormat="false" ht="14.25" hidden="false" customHeight="true" outlineLevel="0" collapsed="false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customFormat="false" ht="14.25" hidden="false" customHeight="true" outlineLevel="0" collapsed="false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customFormat="false" ht="14.25" hidden="false" customHeight="true" outlineLevel="0" collapsed="false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customFormat="false" ht="14.25" hidden="false" customHeight="true" outlineLevel="0" collapsed="false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customFormat="false" ht="14.25" hidden="false" customHeight="true" outlineLevel="0" collapsed="false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customFormat="false" ht="14.25" hidden="false" customHeight="true" outlineLevel="0" collapsed="false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customFormat="false" ht="14.25" hidden="false" customHeight="true" outlineLevel="0" collapsed="false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customFormat="false" ht="14.25" hidden="false" customHeight="true" outlineLevel="0" collapsed="false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customFormat="false" ht="14.25" hidden="false" customHeight="true" outlineLevel="0" collapsed="false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customFormat="false" ht="14.25" hidden="false" customHeight="true" outlineLevel="0" collapsed="false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customFormat="false" ht="14.25" hidden="false" customHeight="true" outlineLevel="0" collapsed="false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customFormat="false" ht="14.25" hidden="false" customHeight="true" outlineLevel="0" collapsed="false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customFormat="false" ht="14.25" hidden="false" customHeight="true" outlineLevel="0" collapsed="false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customFormat="false" ht="14.25" hidden="false" customHeight="true" outlineLevel="0" collapsed="false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customFormat="false" ht="14.25" hidden="false" customHeight="true" outlineLevel="0" collapsed="false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customFormat="false" ht="14.25" hidden="false" customHeight="true" outlineLevel="0" collapsed="false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customFormat="false" ht="14.25" hidden="false" customHeight="true" outlineLevel="0" collapsed="false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customFormat="false" ht="14.25" hidden="false" customHeight="true" outlineLevel="0" collapsed="false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customFormat="false" ht="14.25" hidden="false" customHeight="true" outlineLevel="0" collapsed="false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customFormat="false" ht="14.25" hidden="false" customHeight="true" outlineLevel="0" collapsed="false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customFormat="false" ht="14.25" hidden="false" customHeight="true" outlineLevel="0" collapsed="false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customFormat="false" ht="14.25" hidden="false" customHeight="true" outlineLevel="0" collapsed="false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customFormat="false" ht="14.25" hidden="false" customHeight="true" outlineLevel="0" collapsed="false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customFormat="false" ht="14.25" hidden="false" customHeight="true" outlineLevel="0" collapsed="false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customFormat="false" ht="14.25" hidden="false" customHeight="true" outlineLevel="0" collapsed="false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customFormat="false" ht="14.25" hidden="false" customHeight="true" outlineLevel="0" collapsed="false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customFormat="false" ht="14.25" hidden="false" customHeight="true" outlineLevel="0" collapsed="false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customFormat="false" ht="14.25" hidden="false" customHeight="true" outlineLevel="0" collapsed="false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customFormat="false" ht="14.25" hidden="false" customHeight="true" outlineLevel="0" collapsed="false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customFormat="false" ht="14.25" hidden="false" customHeight="true" outlineLevel="0" collapsed="false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customFormat="false" ht="14.25" hidden="false" customHeight="true" outlineLevel="0" collapsed="false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customFormat="false" ht="14.25" hidden="false" customHeight="true" outlineLevel="0" collapsed="false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customFormat="false" ht="14.25" hidden="false" customHeight="true" outlineLevel="0" collapsed="false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customFormat="false" ht="14.25" hidden="false" customHeight="true" outlineLevel="0" collapsed="false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customFormat="false" ht="14.25" hidden="false" customHeight="true" outlineLevel="0" collapsed="false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customFormat="false" ht="14.25" hidden="false" customHeight="true" outlineLevel="0" collapsed="false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customFormat="false" ht="14.25" hidden="false" customHeight="true" outlineLevel="0" collapsed="false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customFormat="false" ht="14.25" hidden="false" customHeight="true" outlineLevel="0" collapsed="false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customFormat="false" ht="14.25" hidden="false" customHeight="true" outlineLevel="0" collapsed="false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customFormat="false" ht="14.25" hidden="false" customHeight="true" outlineLevel="0" collapsed="false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customFormat="false" ht="14.25" hidden="false" customHeight="true" outlineLevel="0" collapsed="false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customFormat="false" ht="14.25" hidden="false" customHeight="true" outlineLevel="0" collapsed="false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customFormat="false" ht="14.25" hidden="false" customHeight="true" outlineLevel="0" collapsed="false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customFormat="false" ht="14.25" hidden="false" customHeight="true" outlineLevel="0" collapsed="false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customFormat="false" ht="14.25" hidden="false" customHeight="true" outlineLevel="0" collapsed="false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customFormat="false" ht="14.25" hidden="false" customHeight="true" outlineLevel="0" collapsed="false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customFormat="false" ht="14.25" hidden="false" customHeight="true" outlineLevel="0" collapsed="false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customFormat="false" ht="14.25" hidden="false" customHeight="true" outlineLevel="0" collapsed="false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customFormat="false" ht="14.25" hidden="false" customHeight="true" outlineLevel="0" collapsed="false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customFormat="false" ht="14.25" hidden="false" customHeight="true" outlineLevel="0" collapsed="false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customFormat="false" ht="14.25" hidden="false" customHeight="true" outlineLevel="0" collapsed="false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customFormat="false" ht="14.25" hidden="false" customHeight="true" outlineLevel="0" collapsed="false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customFormat="false" ht="14.25" hidden="false" customHeight="true" outlineLevel="0" collapsed="false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customFormat="false" ht="14.25" hidden="false" customHeight="true" outlineLevel="0" collapsed="false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customFormat="false" ht="14.25" hidden="false" customHeight="true" outlineLevel="0" collapsed="false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customFormat="false" ht="14.25" hidden="false" customHeight="true" outlineLevel="0" collapsed="false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customFormat="false" ht="14.25" hidden="false" customHeight="true" outlineLevel="0" collapsed="false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customFormat="false" ht="14.25" hidden="false" customHeight="true" outlineLevel="0" collapsed="false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customFormat="false" ht="14.25" hidden="false" customHeight="true" outlineLevel="0" collapsed="false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customFormat="false" ht="14.25" hidden="false" customHeight="true" outlineLevel="0" collapsed="false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customFormat="false" ht="14.25" hidden="false" customHeight="true" outlineLevel="0" collapsed="false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customFormat="false" ht="14.25" hidden="false" customHeight="true" outlineLevel="0" collapsed="false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customFormat="false" ht="14.25" hidden="false" customHeight="true" outlineLevel="0" collapsed="false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customFormat="false" ht="14.25" hidden="false" customHeight="true" outlineLevel="0" collapsed="false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customFormat="false" ht="14.25" hidden="false" customHeight="true" outlineLevel="0" collapsed="false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customFormat="false" ht="14.25" hidden="false" customHeight="true" outlineLevel="0" collapsed="false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customFormat="false" ht="14.25" hidden="false" customHeight="true" outlineLevel="0" collapsed="false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customFormat="false" ht="14.25" hidden="false" customHeight="true" outlineLevel="0" collapsed="false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customFormat="false" ht="14.25" hidden="false" customHeight="true" outlineLevel="0" collapsed="false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customFormat="false" ht="14.25" hidden="false" customHeight="true" outlineLevel="0" collapsed="false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customFormat="false" ht="14.25" hidden="false" customHeight="true" outlineLevel="0" collapsed="false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customFormat="false" ht="14.25" hidden="false" customHeight="true" outlineLevel="0" collapsed="false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customFormat="false" ht="14.25" hidden="false" customHeight="true" outlineLevel="0" collapsed="false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customFormat="false" ht="14.25" hidden="false" customHeight="true" outlineLevel="0" collapsed="false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customFormat="false" ht="14.25" hidden="false" customHeight="true" outlineLevel="0" collapsed="false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customFormat="false" ht="14.25" hidden="false" customHeight="true" outlineLevel="0" collapsed="false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customFormat="false" ht="14.25" hidden="false" customHeight="true" outlineLevel="0" collapsed="false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customFormat="false" ht="14.25" hidden="false" customHeight="true" outlineLevel="0" collapsed="false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customFormat="false" ht="14.25" hidden="false" customHeight="true" outlineLevel="0" collapsed="false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customFormat="false" ht="14.25" hidden="false" customHeight="true" outlineLevel="0" collapsed="false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customFormat="false" ht="14.25" hidden="false" customHeight="true" outlineLevel="0" collapsed="false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customFormat="false" ht="14.25" hidden="false" customHeight="true" outlineLevel="0" collapsed="false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customFormat="false" ht="14.25" hidden="false" customHeight="true" outlineLevel="0" collapsed="false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customFormat="false" ht="14.25" hidden="false" customHeight="true" outlineLevel="0" collapsed="false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customFormat="false" ht="14.25" hidden="false" customHeight="true" outlineLevel="0" collapsed="false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customFormat="false" ht="14.25" hidden="false" customHeight="true" outlineLevel="0" collapsed="false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customFormat="false" ht="14.25" hidden="false" customHeight="true" outlineLevel="0" collapsed="false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customFormat="false" ht="14.25" hidden="false" customHeight="true" outlineLevel="0" collapsed="false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customFormat="false" ht="14.25" hidden="false" customHeight="true" outlineLevel="0" collapsed="false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customFormat="false" ht="14.25" hidden="false" customHeight="true" outlineLevel="0" collapsed="false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customFormat="false" ht="14.25" hidden="false" customHeight="true" outlineLevel="0" collapsed="false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customFormat="false" ht="14.25" hidden="false" customHeight="true" outlineLevel="0" collapsed="false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customFormat="false" ht="14.25" hidden="false" customHeight="true" outlineLevel="0" collapsed="false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customFormat="false" ht="14.25" hidden="false" customHeight="true" outlineLevel="0" collapsed="false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customFormat="false" ht="14.25" hidden="false" customHeight="true" outlineLevel="0" collapsed="false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customFormat="false" ht="14.25" hidden="false" customHeight="true" outlineLevel="0" collapsed="false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customFormat="false" ht="14.25" hidden="false" customHeight="true" outlineLevel="0" collapsed="false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customFormat="false" ht="14.25" hidden="false" customHeight="true" outlineLevel="0" collapsed="false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customFormat="false" ht="14.25" hidden="false" customHeight="true" outlineLevel="0" collapsed="false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customFormat="false" ht="14.25" hidden="false" customHeight="true" outlineLevel="0" collapsed="false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customFormat="false" ht="14.25" hidden="false" customHeight="true" outlineLevel="0" collapsed="false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customFormat="false" ht="14.25" hidden="false" customHeight="true" outlineLevel="0" collapsed="false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customFormat="false" ht="14.25" hidden="false" customHeight="true" outlineLevel="0" collapsed="false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customFormat="false" ht="14.25" hidden="false" customHeight="true" outlineLevel="0" collapsed="false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customFormat="false" ht="14.25" hidden="false" customHeight="true" outlineLevel="0" collapsed="false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customFormat="false" ht="14.25" hidden="false" customHeight="true" outlineLevel="0" collapsed="false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customFormat="false" ht="14.25" hidden="false" customHeight="true" outlineLevel="0" collapsed="false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customFormat="false" ht="14.25" hidden="false" customHeight="true" outlineLevel="0" collapsed="false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customFormat="false" ht="14.25" hidden="false" customHeight="true" outlineLevel="0" collapsed="false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customFormat="false" ht="14.25" hidden="false" customHeight="true" outlineLevel="0" collapsed="false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customFormat="false" ht="14.25" hidden="false" customHeight="true" outlineLevel="0" collapsed="false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customFormat="false" ht="14.25" hidden="false" customHeight="true" outlineLevel="0" collapsed="false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customFormat="false" ht="14.25" hidden="false" customHeight="true" outlineLevel="0" collapsed="false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customFormat="false" ht="14.25" hidden="false" customHeight="true" outlineLevel="0" collapsed="false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customFormat="false" ht="14.25" hidden="false" customHeight="true" outlineLevel="0" collapsed="false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customFormat="false" ht="14.25" hidden="false" customHeight="true" outlineLevel="0" collapsed="false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customFormat="false" ht="14.25" hidden="false" customHeight="true" outlineLevel="0" collapsed="false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customFormat="false" ht="14.25" hidden="false" customHeight="true" outlineLevel="0" collapsed="false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customFormat="false" ht="14.25" hidden="false" customHeight="true" outlineLevel="0" collapsed="false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customFormat="false" ht="14.25" hidden="false" customHeight="true" outlineLevel="0" collapsed="false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customFormat="false" ht="14.25" hidden="false" customHeight="true" outlineLevel="0" collapsed="false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customFormat="false" ht="14.25" hidden="false" customHeight="true" outlineLevel="0" collapsed="false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customFormat="false" ht="14.25" hidden="false" customHeight="true" outlineLevel="0" collapsed="false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customFormat="false" ht="14.25" hidden="false" customHeight="true" outlineLevel="0" collapsed="false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customFormat="false" ht="14.25" hidden="false" customHeight="true" outlineLevel="0" collapsed="false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customFormat="false" ht="14.25" hidden="false" customHeight="true" outlineLevel="0" collapsed="false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customFormat="false" ht="14.25" hidden="false" customHeight="true" outlineLevel="0" collapsed="false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customFormat="false" ht="14.25" hidden="false" customHeight="true" outlineLevel="0" collapsed="false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customFormat="false" ht="14.25" hidden="false" customHeight="true" outlineLevel="0" collapsed="false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customFormat="false" ht="14.25" hidden="false" customHeight="true" outlineLevel="0" collapsed="false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customFormat="false" ht="14.25" hidden="false" customHeight="true" outlineLevel="0" collapsed="false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customFormat="false" ht="14.25" hidden="false" customHeight="true" outlineLevel="0" collapsed="false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customFormat="false" ht="14.25" hidden="false" customHeight="true" outlineLevel="0" collapsed="false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customFormat="false" ht="14.25" hidden="false" customHeight="true" outlineLevel="0" collapsed="false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customFormat="false" ht="14.25" hidden="false" customHeight="true" outlineLevel="0" collapsed="false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customFormat="false" ht="14.25" hidden="false" customHeight="true" outlineLevel="0" collapsed="false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customFormat="false" ht="14.25" hidden="false" customHeight="true" outlineLevel="0" collapsed="false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customFormat="false" ht="14.25" hidden="false" customHeight="true" outlineLevel="0" collapsed="false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customFormat="false" ht="14.25" hidden="false" customHeight="true" outlineLevel="0" collapsed="false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customFormat="false" ht="14.25" hidden="false" customHeight="true" outlineLevel="0" collapsed="false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customFormat="false" ht="14.25" hidden="false" customHeight="true" outlineLevel="0" collapsed="false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customFormat="false" ht="14.25" hidden="false" customHeight="true" outlineLevel="0" collapsed="false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customFormat="false" ht="14.25" hidden="false" customHeight="true" outlineLevel="0" collapsed="false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customFormat="false" ht="14.25" hidden="false" customHeight="true" outlineLevel="0" collapsed="false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customFormat="false" ht="14.25" hidden="false" customHeight="true" outlineLevel="0" collapsed="false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customFormat="false" ht="14.25" hidden="false" customHeight="true" outlineLevel="0" collapsed="false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customFormat="false" ht="14.25" hidden="false" customHeight="true" outlineLevel="0" collapsed="false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customFormat="false" ht="14.25" hidden="false" customHeight="true" outlineLevel="0" collapsed="false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customFormat="false" ht="14.25" hidden="false" customHeight="true" outlineLevel="0" collapsed="false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customFormat="false" ht="14.25" hidden="false" customHeight="true" outlineLevel="0" collapsed="false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customFormat="false" ht="14.25" hidden="false" customHeight="true" outlineLevel="0" collapsed="false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customFormat="false" ht="14.25" hidden="false" customHeight="true" outlineLevel="0" collapsed="false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customFormat="false" ht="14.25" hidden="false" customHeight="true" outlineLevel="0" collapsed="false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customFormat="false" ht="14.25" hidden="false" customHeight="true" outlineLevel="0" collapsed="false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customFormat="false" ht="14.25" hidden="false" customHeight="true" outlineLevel="0" collapsed="false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customFormat="false" ht="14.25" hidden="false" customHeight="true" outlineLevel="0" collapsed="false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customFormat="false" ht="14.25" hidden="false" customHeight="true" outlineLevel="0" collapsed="false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customFormat="false" ht="14.25" hidden="false" customHeight="true" outlineLevel="0" collapsed="false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customFormat="false" ht="14.25" hidden="false" customHeight="true" outlineLevel="0" collapsed="false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customFormat="false" ht="14.25" hidden="false" customHeight="true" outlineLevel="0" collapsed="false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customFormat="false" ht="14.25" hidden="false" customHeight="true" outlineLevel="0" collapsed="false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customFormat="false" ht="14.25" hidden="false" customHeight="true" outlineLevel="0" collapsed="false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customFormat="false" ht="14.25" hidden="false" customHeight="true" outlineLevel="0" collapsed="false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customFormat="false" ht="14.25" hidden="false" customHeight="true" outlineLevel="0" collapsed="false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customFormat="false" ht="14.25" hidden="false" customHeight="true" outlineLevel="0" collapsed="false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customFormat="false" ht="14.25" hidden="false" customHeight="true" outlineLevel="0" collapsed="false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customFormat="false" ht="14.25" hidden="false" customHeight="true" outlineLevel="0" collapsed="false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customFormat="false" ht="14.25" hidden="false" customHeight="true" outlineLevel="0" collapsed="false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customFormat="false" ht="14.25" hidden="false" customHeight="true" outlineLevel="0" collapsed="false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customFormat="false" ht="14.25" hidden="false" customHeight="true" outlineLevel="0" collapsed="false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customFormat="false" ht="14.25" hidden="false" customHeight="true" outlineLevel="0" collapsed="false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customFormat="false" ht="14.25" hidden="false" customHeight="true" outlineLevel="0" collapsed="false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customFormat="false" ht="14.25" hidden="false" customHeight="true" outlineLevel="0" collapsed="false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customFormat="false" ht="14.25" hidden="false" customHeight="true" outlineLevel="0" collapsed="false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customFormat="false" ht="14.25" hidden="false" customHeight="true" outlineLevel="0" collapsed="false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customFormat="false" ht="14.25" hidden="false" customHeight="true" outlineLevel="0" collapsed="false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customFormat="false" ht="14.25" hidden="false" customHeight="true" outlineLevel="0" collapsed="false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customFormat="false" ht="14.25" hidden="false" customHeight="true" outlineLevel="0" collapsed="false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customFormat="false" ht="14.25" hidden="false" customHeight="true" outlineLevel="0" collapsed="false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customFormat="false" ht="14.25" hidden="false" customHeight="true" outlineLevel="0" collapsed="false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customFormat="false" ht="14.25" hidden="false" customHeight="true" outlineLevel="0" collapsed="false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customFormat="false" ht="14.25" hidden="false" customHeight="true" outlineLevel="0" collapsed="false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customFormat="false" ht="14.25" hidden="false" customHeight="true" outlineLevel="0" collapsed="false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customFormat="false" ht="14.25" hidden="false" customHeight="true" outlineLevel="0" collapsed="false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customFormat="false" ht="14.25" hidden="false" customHeight="true" outlineLevel="0" collapsed="false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customFormat="false" ht="14.25" hidden="false" customHeight="true" outlineLevel="0" collapsed="false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customFormat="false" ht="14.25" hidden="false" customHeight="true" outlineLevel="0" collapsed="false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customFormat="false" ht="14.25" hidden="false" customHeight="true" outlineLevel="0" collapsed="false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customFormat="false" ht="14.25" hidden="false" customHeight="true" outlineLevel="0" collapsed="false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customFormat="false" ht="14.25" hidden="false" customHeight="true" outlineLevel="0" collapsed="false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customFormat="false" ht="14.25" hidden="false" customHeight="true" outlineLevel="0" collapsed="false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customFormat="false" ht="14.25" hidden="false" customHeight="true" outlineLevel="0" collapsed="false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customFormat="false" ht="14.25" hidden="false" customHeight="true" outlineLevel="0" collapsed="false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customFormat="false" ht="14.25" hidden="false" customHeight="true" outlineLevel="0" collapsed="false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customFormat="false" ht="14.25" hidden="false" customHeight="true" outlineLevel="0" collapsed="false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customFormat="false" ht="14.25" hidden="false" customHeight="true" outlineLevel="0" collapsed="false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customFormat="false" ht="14.25" hidden="false" customHeight="true" outlineLevel="0" collapsed="false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customFormat="false" ht="14.25" hidden="false" customHeight="true" outlineLevel="0" collapsed="false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customFormat="false" ht="14.25" hidden="false" customHeight="true" outlineLevel="0" collapsed="false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customFormat="false" ht="14.25" hidden="false" customHeight="true" outlineLevel="0" collapsed="false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customFormat="false" ht="14.25" hidden="false" customHeight="true" outlineLevel="0" collapsed="false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customFormat="false" ht="14.25" hidden="false" customHeight="true" outlineLevel="0" collapsed="false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customFormat="false" ht="14.25" hidden="false" customHeight="true" outlineLevel="0" collapsed="false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customFormat="false" ht="14.25" hidden="false" customHeight="true" outlineLevel="0" collapsed="false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customFormat="false" ht="14.25" hidden="false" customHeight="true" outlineLevel="0" collapsed="false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customFormat="false" ht="14.25" hidden="false" customHeight="true" outlineLevel="0" collapsed="false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customFormat="false" ht="14.25" hidden="false" customHeight="true" outlineLevel="0" collapsed="false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customFormat="false" ht="14.25" hidden="false" customHeight="true" outlineLevel="0" collapsed="false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customFormat="false" ht="14.25" hidden="false" customHeight="true" outlineLevel="0" collapsed="false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customFormat="false" ht="14.25" hidden="false" customHeight="true" outlineLevel="0" collapsed="false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customFormat="false" ht="14.25" hidden="false" customHeight="true" outlineLevel="0" collapsed="false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customFormat="false" ht="14.25" hidden="false" customHeight="true" outlineLevel="0" collapsed="false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customFormat="false" ht="14.25" hidden="false" customHeight="true" outlineLevel="0" collapsed="false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customFormat="false" ht="14.25" hidden="false" customHeight="true" outlineLevel="0" collapsed="false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customFormat="false" ht="14.25" hidden="false" customHeight="true" outlineLevel="0" collapsed="false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customFormat="false" ht="14.25" hidden="false" customHeight="true" outlineLevel="0" collapsed="false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customFormat="false" ht="14.25" hidden="false" customHeight="true" outlineLevel="0" collapsed="false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customFormat="false" ht="14.25" hidden="false" customHeight="true" outlineLevel="0" collapsed="false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customFormat="false" ht="14.25" hidden="false" customHeight="true" outlineLevel="0" collapsed="false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customFormat="false" ht="14.25" hidden="false" customHeight="true" outlineLevel="0" collapsed="false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customFormat="false" ht="14.25" hidden="false" customHeight="true" outlineLevel="0" collapsed="false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customFormat="false" ht="14.25" hidden="false" customHeight="true" outlineLevel="0" collapsed="false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customFormat="false" ht="14.25" hidden="false" customHeight="true" outlineLevel="0" collapsed="false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customFormat="false" ht="14.25" hidden="false" customHeight="true" outlineLevel="0" collapsed="false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customFormat="false" ht="14.25" hidden="false" customHeight="true" outlineLevel="0" collapsed="false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customFormat="false" ht="14.25" hidden="false" customHeight="true" outlineLevel="0" collapsed="false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customFormat="false" ht="14.25" hidden="false" customHeight="true" outlineLevel="0" collapsed="false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customFormat="false" ht="14.25" hidden="false" customHeight="true" outlineLevel="0" collapsed="false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customFormat="false" ht="14.25" hidden="false" customHeight="true" outlineLevel="0" collapsed="false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customFormat="false" ht="14.25" hidden="false" customHeight="true" outlineLevel="0" collapsed="false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customFormat="false" ht="14.25" hidden="false" customHeight="true" outlineLevel="0" collapsed="false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customFormat="false" ht="14.25" hidden="false" customHeight="true" outlineLevel="0" collapsed="false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customFormat="false" ht="14.25" hidden="false" customHeight="true" outlineLevel="0" collapsed="false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customFormat="false" ht="14.25" hidden="false" customHeight="true" outlineLevel="0" collapsed="false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customFormat="false" ht="14.25" hidden="false" customHeight="true" outlineLevel="0" collapsed="false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customFormat="false" ht="14.25" hidden="false" customHeight="true" outlineLevel="0" collapsed="false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customFormat="false" ht="14.25" hidden="false" customHeight="true" outlineLevel="0" collapsed="false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customFormat="false" ht="14.25" hidden="false" customHeight="true" outlineLevel="0" collapsed="false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customFormat="false" ht="14.25" hidden="false" customHeight="true" outlineLevel="0" collapsed="false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customFormat="false" ht="14.25" hidden="false" customHeight="true" outlineLevel="0" collapsed="false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customFormat="false" ht="14.25" hidden="false" customHeight="true" outlineLevel="0" collapsed="false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customFormat="false" ht="14.25" hidden="false" customHeight="true" outlineLevel="0" collapsed="false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customFormat="false" ht="14.25" hidden="false" customHeight="true" outlineLevel="0" collapsed="false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customFormat="false" ht="14.25" hidden="false" customHeight="true" outlineLevel="0" collapsed="false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customFormat="false" ht="14.25" hidden="false" customHeight="true" outlineLevel="0" collapsed="false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customFormat="false" ht="14.25" hidden="false" customHeight="true" outlineLevel="0" collapsed="false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customFormat="false" ht="14.25" hidden="false" customHeight="true" outlineLevel="0" collapsed="false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customFormat="false" ht="14.25" hidden="false" customHeight="true" outlineLevel="0" collapsed="false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customFormat="false" ht="14.25" hidden="false" customHeight="true" outlineLevel="0" collapsed="false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customFormat="false" ht="14.25" hidden="false" customHeight="true" outlineLevel="0" collapsed="false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customFormat="false" ht="14.25" hidden="false" customHeight="true" outlineLevel="0" collapsed="false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customFormat="false" ht="14.25" hidden="false" customHeight="true" outlineLevel="0" collapsed="false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customFormat="false" ht="14.25" hidden="false" customHeight="true" outlineLevel="0" collapsed="false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customFormat="false" ht="14.25" hidden="false" customHeight="true" outlineLevel="0" collapsed="false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customFormat="false" ht="14.25" hidden="false" customHeight="true" outlineLevel="0" collapsed="false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customFormat="false" ht="14.25" hidden="false" customHeight="true" outlineLevel="0" collapsed="false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customFormat="false" ht="14.25" hidden="false" customHeight="true" outlineLevel="0" collapsed="false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customFormat="false" ht="14.25" hidden="false" customHeight="true" outlineLevel="0" collapsed="false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customFormat="false" ht="14.25" hidden="false" customHeight="true" outlineLevel="0" collapsed="false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customFormat="false" ht="14.25" hidden="false" customHeight="true" outlineLevel="0" collapsed="false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customFormat="false" ht="14.25" hidden="false" customHeight="true" outlineLevel="0" collapsed="false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customFormat="false" ht="14.25" hidden="false" customHeight="true" outlineLevel="0" collapsed="false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customFormat="false" ht="14.25" hidden="false" customHeight="true" outlineLevel="0" collapsed="false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customFormat="false" ht="14.25" hidden="false" customHeight="true" outlineLevel="0" collapsed="false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customFormat="false" ht="14.25" hidden="false" customHeight="true" outlineLevel="0" collapsed="false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customFormat="false" ht="14.25" hidden="false" customHeight="true" outlineLevel="0" collapsed="false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customFormat="false" ht="14.25" hidden="false" customHeight="true" outlineLevel="0" collapsed="false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customFormat="false" ht="14.25" hidden="false" customHeight="true" outlineLevel="0" collapsed="false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customFormat="false" ht="14.25" hidden="false" customHeight="true" outlineLevel="0" collapsed="false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customFormat="false" ht="14.25" hidden="false" customHeight="true" outlineLevel="0" collapsed="false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customFormat="false" ht="14.25" hidden="false" customHeight="true" outlineLevel="0" collapsed="false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customFormat="false" ht="14.25" hidden="false" customHeight="true" outlineLevel="0" collapsed="false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customFormat="false" ht="14.25" hidden="false" customHeight="true" outlineLevel="0" collapsed="false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customFormat="false" ht="14.25" hidden="false" customHeight="true" outlineLevel="0" collapsed="false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customFormat="false" ht="14.25" hidden="false" customHeight="true" outlineLevel="0" collapsed="false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customFormat="false" ht="14.25" hidden="false" customHeight="true" outlineLevel="0" collapsed="false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customFormat="false" ht="14.25" hidden="false" customHeight="true" outlineLevel="0" collapsed="false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customFormat="false" ht="14.25" hidden="false" customHeight="true" outlineLevel="0" collapsed="false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customFormat="false" ht="14.25" hidden="false" customHeight="true" outlineLevel="0" collapsed="false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customFormat="false" ht="14.25" hidden="false" customHeight="true" outlineLevel="0" collapsed="false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customFormat="false" ht="14.25" hidden="false" customHeight="true" outlineLevel="0" collapsed="false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customFormat="false" ht="14.25" hidden="false" customHeight="true" outlineLevel="0" collapsed="false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customFormat="false" ht="14.25" hidden="false" customHeight="true" outlineLevel="0" collapsed="false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customFormat="false" ht="14.25" hidden="false" customHeight="true" outlineLevel="0" collapsed="false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customFormat="false" ht="14.25" hidden="false" customHeight="true" outlineLevel="0" collapsed="false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customFormat="false" ht="14.25" hidden="false" customHeight="true" outlineLevel="0" collapsed="false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customFormat="false" ht="14.25" hidden="false" customHeight="true" outlineLevel="0" collapsed="false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customFormat="false" ht="14.25" hidden="false" customHeight="true" outlineLevel="0" collapsed="false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customFormat="false" ht="14.25" hidden="false" customHeight="true" outlineLevel="0" collapsed="false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customFormat="false" ht="14.25" hidden="false" customHeight="true" outlineLevel="0" collapsed="false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customFormat="false" ht="14.25" hidden="false" customHeight="true" outlineLevel="0" collapsed="false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customFormat="false" ht="14.25" hidden="false" customHeight="true" outlineLevel="0" collapsed="false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customFormat="false" ht="14.25" hidden="false" customHeight="true" outlineLevel="0" collapsed="false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customFormat="false" ht="14.25" hidden="false" customHeight="true" outlineLevel="0" collapsed="false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customFormat="false" ht="14.25" hidden="false" customHeight="true" outlineLevel="0" collapsed="false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customFormat="false" ht="14.25" hidden="false" customHeight="true" outlineLevel="0" collapsed="false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customFormat="false" ht="14.25" hidden="false" customHeight="true" outlineLevel="0" collapsed="false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customFormat="false" ht="14.25" hidden="false" customHeight="true" outlineLevel="0" collapsed="false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customFormat="false" ht="14.25" hidden="false" customHeight="true" outlineLevel="0" collapsed="false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customFormat="false" ht="14.25" hidden="false" customHeight="true" outlineLevel="0" collapsed="false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customFormat="false" ht="14.25" hidden="false" customHeight="true" outlineLevel="0" collapsed="false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customFormat="false" ht="14.25" hidden="false" customHeight="true" outlineLevel="0" collapsed="false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customFormat="false" ht="14.25" hidden="false" customHeight="true" outlineLevel="0" collapsed="false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customFormat="false" ht="14.25" hidden="false" customHeight="true" outlineLevel="0" collapsed="false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customFormat="false" ht="14.25" hidden="false" customHeight="true" outlineLevel="0" collapsed="false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customFormat="false" ht="14.25" hidden="false" customHeight="true" outlineLevel="0" collapsed="false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customFormat="false" ht="14.25" hidden="false" customHeight="true" outlineLevel="0" collapsed="false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customFormat="false" ht="14.25" hidden="false" customHeight="true" outlineLevel="0" collapsed="false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customFormat="false" ht="14.25" hidden="false" customHeight="true" outlineLevel="0" collapsed="false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customFormat="false" ht="14.25" hidden="false" customHeight="true" outlineLevel="0" collapsed="false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customFormat="false" ht="14.25" hidden="false" customHeight="true" outlineLevel="0" collapsed="false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customFormat="false" ht="14.25" hidden="false" customHeight="true" outlineLevel="0" collapsed="false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customFormat="false" ht="14.25" hidden="false" customHeight="true" outlineLevel="0" collapsed="false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customFormat="false" ht="14.25" hidden="false" customHeight="true" outlineLevel="0" collapsed="false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customFormat="false" ht="14.25" hidden="false" customHeight="true" outlineLevel="0" collapsed="false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customFormat="false" ht="14.25" hidden="false" customHeight="true" outlineLevel="0" collapsed="false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customFormat="false" ht="14.25" hidden="false" customHeight="true" outlineLevel="0" collapsed="false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customFormat="false" ht="14.25" hidden="false" customHeight="true" outlineLevel="0" collapsed="false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customFormat="false" ht="14.25" hidden="false" customHeight="true" outlineLevel="0" collapsed="false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customFormat="false" ht="14.25" hidden="false" customHeight="true" outlineLevel="0" collapsed="false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customFormat="false" ht="14.25" hidden="false" customHeight="true" outlineLevel="0" collapsed="false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customFormat="false" ht="14.25" hidden="false" customHeight="true" outlineLevel="0" collapsed="false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customFormat="false" ht="14.25" hidden="false" customHeight="true" outlineLevel="0" collapsed="false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customFormat="false" ht="14.25" hidden="false" customHeight="true" outlineLevel="0" collapsed="false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customFormat="false" ht="14.25" hidden="false" customHeight="true" outlineLevel="0" collapsed="false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customFormat="false" ht="14.25" hidden="false" customHeight="true" outlineLevel="0" collapsed="false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customFormat="false" ht="14.25" hidden="false" customHeight="true" outlineLevel="0" collapsed="false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customFormat="false" ht="14.25" hidden="false" customHeight="true" outlineLevel="0" collapsed="false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customFormat="false" ht="14.25" hidden="false" customHeight="true" outlineLevel="0" collapsed="false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customFormat="false" ht="14.25" hidden="false" customHeight="true" outlineLevel="0" collapsed="false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customFormat="false" ht="14.25" hidden="false" customHeight="true" outlineLevel="0" collapsed="false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customFormat="false" ht="14.25" hidden="false" customHeight="true" outlineLevel="0" collapsed="false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customFormat="false" ht="14.25" hidden="false" customHeight="true" outlineLevel="0" collapsed="false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customFormat="false" ht="14.25" hidden="false" customHeight="true" outlineLevel="0" collapsed="false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customFormat="false" ht="14.25" hidden="false" customHeight="true" outlineLevel="0" collapsed="false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customFormat="false" ht="14.25" hidden="false" customHeight="true" outlineLevel="0" collapsed="false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customFormat="false" ht="14.25" hidden="false" customHeight="true" outlineLevel="0" collapsed="false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customFormat="false" ht="14.25" hidden="false" customHeight="true" outlineLevel="0" collapsed="false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customFormat="false" ht="14.25" hidden="false" customHeight="true" outlineLevel="0" collapsed="false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customFormat="false" ht="14.25" hidden="false" customHeight="true" outlineLevel="0" collapsed="false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customFormat="false" ht="14.25" hidden="false" customHeight="true" outlineLevel="0" collapsed="false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customFormat="false" ht="14.25" hidden="false" customHeight="true" outlineLevel="0" collapsed="false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customFormat="false" ht="14.25" hidden="false" customHeight="true" outlineLevel="0" collapsed="false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customFormat="false" ht="14.25" hidden="false" customHeight="true" outlineLevel="0" collapsed="false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customFormat="false" ht="14.25" hidden="false" customHeight="true" outlineLevel="0" collapsed="false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customFormat="false" ht="14.25" hidden="false" customHeight="true" outlineLevel="0" collapsed="false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customFormat="false" ht="14.25" hidden="false" customHeight="true" outlineLevel="0" collapsed="false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customFormat="false" ht="14.25" hidden="false" customHeight="true" outlineLevel="0" collapsed="false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customFormat="false" ht="14.25" hidden="false" customHeight="true" outlineLevel="0" collapsed="false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customFormat="false" ht="14.25" hidden="false" customHeight="true" outlineLevel="0" collapsed="false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customFormat="false" ht="14.25" hidden="false" customHeight="true" outlineLevel="0" collapsed="false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customFormat="false" ht="14.25" hidden="false" customHeight="true" outlineLevel="0" collapsed="false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customFormat="false" ht="14.25" hidden="false" customHeight="true" outlineLevel="0" collapsed="false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customFormat="false" ht="14.25" hidden="false" customHeight="true" outlineLevel="0" collapsed="false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customFormat="false" ht="14.25" hidden="false" customHeight="true" outlineLevel="0" collapsed="false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customFormat="false" ht="14.25" hidden="false" customHeight="true" outlineLevel="0" collapsed="false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customFormat="false" ht="14.25" hidden="false" customHeight="true" outlineLevel="0" collapsed="false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customFormat="false" ht="14.25" hidden="false" customHeight="true" outlineLevel="0" collapsed="false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customFormat="false" ht="14.25" hidden="false" customHeight="true" outlineLevel="0" collapsed="false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customFormat="false" ht="14.25" hidden="false" customHeight="true" outlineLevel="0" collapsed="false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customFormat="false" ht="14.25" hidden="false" customHeight="true" outlineLevel="0" collapsed="false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customFormat="false" ht="14.25" hidden="false" customHeight="true" outlineLevel="0" collapsed="false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customFormat="false" ht="14.25" hidden="false" customHeight="true" outlineLevel="0" collapsed="false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customFormat="false" ht="14.25" hidden="false" customHeight="true" outlineLevel="0" collapsed="false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customFormat="false" ht="14.25" hidden="false" customHeight="true" outlineLevel="0" collapsed="false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customFormat="false" ht="14.25" hidden="false" customHeight="true" outlineLevel="0" collapsed="false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customFormat="false" ht="14.25" hidden="false" customHeight="true" outlineLevel="0" collapsed="false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customFormat="false" ht="14.25" hidden="false" customHeight="true" outlineLevel="0" collapsed="false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customFormat="false" ht="14.25" hidden="false" customHeight="true" outlineLevel="0" collapsed="false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customFormat="false" ht="14.25" hidden="false" customHeight="true" outlineLevel="0" collapsed="false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customFormat="false" ht="14.25" hidden="false" customHeight="true" outlineLevel="0" collapsed="false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customFormat="false" ht="14.25" hidden="false" customHeight="true" outlineLevel="0" collapsed="false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customFormat="false" ht="14.25" hidden="false" customHeight="true" outlineLevel="0" collapsed="false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customFormat="false" ht="14.25" hidden="false" customHeight="true" outlineLevel="0" collapsed="false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customFormat="false" ht="14.25" hidden="false" customHeight="true" outlineLevel="0" collapsed="false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customFormat="false" ht="14.25" hidden="false" customHeight="true" outlineLevel="0" collapsed="false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customFormat="false" ht="14.25" hidden="false" customHeight="true" outlineLevel="0" collapsed="false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customFormat="false" ht="14.25" hidden="false" customHeight="true" outlineLevel="0" collapsed="false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customFormat="false" ht="14.25" hidden="false" customHeight="true" outlineLevel="0" collapsed="false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customFormat="false" ht="14.25" hidden="false" customHeight="true" outlineLevel="0" collapsed="false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customFormat="false" ht="14.25" hidden="false" customHeight="true" outlineLevel="0" collapsed="false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customFormat="false" ht="14.25" hidden="false" customHeight="true" outlineLevel="0" collapsed="false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customFormat="false" ht="14.25" hidden="false" customHeight="true" outlineLevel="0" collapsed="false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customFormat="false" ht="14.25" hidden="false" customHeight="true" outlineLevel="0" collapsed="false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customFormat="false" ht="14.25" hidden="false" customHeight="true" outlineLevel="0" collapsed="false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customFormat="false" ht="14.25" hidden="false" customHeight="true" outlineLevel="0" collapsed="false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customFormat="false" ht="14.25" hidden="false" customHeight="true" outlineLevel="0" collapsed="false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customFormat="false" ht="14.25" hidden="false" customHeight="true" outlineLevel="0" collapsed="false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customFormat="false" ht="14.25" hidden="false" customHeight="true" outlineLevel="0" collapsed="false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customFormat="false" ht="14.25" hidden="false" customHeight="true" outlineLevel="0" collapsed="false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customFormat="false" ht="14.25" hidden="false" customHeight="true" outlineLevel="0" collapsed="false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customFormat="false" ht="14.25" hidden="false" customHeight="true" outlineLevel="0" collapsed="false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customFormat="false" ht="14.25" hidden="false" customHeight="true" outlineLevel="0" collapsed="false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customFormat="false" ht="14.25" hidden="false" customHeight="true" outlineLevel="0" collapsed="false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customFormat="false" ht="14.25" hidden="false" customHeight="true" outlineLevel="0" collapsed="false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customFormat="false" ht="14.25" hidden="false" customHeight="true" outlineLevel="0" collapsed="false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customFormat="false" ht="14.25" hidden="false" customHeight="true" outlineLevel="0" collapsed="false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customFormat="false" ht="14.25" hidden="false" customHeight="true" outlineLevel="0" collapsed="false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customFormat="false" ht="14.25" hidden="false" customHeight="true" outlineLevel="0" collapsed="false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customFormat="false" ht="14.25" hidden="false" customHeight="true" outlineLevel="0" collapsed="false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customFormat="false" ht="14.25" hidden="false" customHeight="true" outlineLevel="0" collapsed="false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customFormat="false" ht="14.25" hidden="false" customHeight="true" outlineLevel="0" collapsed="false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customFormat="false" ht="14.25" hidden="false" customHeight="true" outlineLevel="0" collapsed="false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customFormat="false" ht="14.25" hidden="false" customHeight="true" outlineLevel="0" collapsed="false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customFormat="false" ht="14.25" hidden="false" customHeight="true" outlineLevel="0" collapsed="false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customFormat="false" ht="14.25" hidden="false" customHeight="true" outlineLevel="0" collapsed="false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customFormat="false" ht="14.25" hidden="false" customHeight="true" outlineLevel="0" collapsed="false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customFormat="false" ht="14.25" hidden="false" customHeight="true" outlineLevel="0" collapsed="false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customFormat="false" ht="14.25" hidden="false" customHeight="true" outlineLevel="0" collapsed="false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customFormat="false" ht="14.25" hidden="false" customHeight="true" outlineLevel="0" collapsed="false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customFormat="false" ht="14.25" hidden="false" customHeight="true" outlineLevel="0" collapsed="false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customFormat="false" ht="14.25" hidden="false" customHeight="true" outlineLevel="0" collapsed="false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customFormat="false" ht="14.25" hidden="false" customHeight="true" outlineLevel="0" collapsed="false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customFormat="false" ht="14.25" hidden="false" customHeight="true" outlineLevel="0" collapsed="false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customFormat="false" ht="14.25" hidden="false" customHeight="true" outlineLevel="0" collapsed="false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customFormat="false" ht="14.25" hidden="false" customHeight="true" outlineLevel="0" collapsed="false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customFormat="false" ht="14.25" hidden="false" customHeight="true" outlineLevel="0" collapsed="false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customFormat="false" ht="14.25" hidden="false" customHeight="true" outlineLevel="0" collapsed="false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customFormat="false" ht="14.25" hidden="false" customHeight="true" outlineLevel="0" collapsed="false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customFormat="false" ht="14.25" hidden="false" customHeight="true" outlineLevel="0" collapsed="false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customFormat="false" ht="14.25" hidden="false" customHeight="true" outlineLevel="0" collapsed="false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customFormat="false" ht="14.25" hidden="false" customHeight="true" outlineLevel="0" collapsed="false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customFormat="false" ht="14.25" hidden="false" customHeight="true" outlineLevel="0" collapsed="false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customFormat="false" ht="14.25" hidden="false" customHeight="true" outlineLevel="0" collapsed="false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customFormat="false" ht="14.25" hidden="false" customHeight="true" outlineLevel="0" collapsed="false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customFormat="false" ht="14.25" hidden="false" customHeight="true" outlineLevel="0" collapsed="false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customFormat="false" ht="14.25" hidden="false" customHeight="true" outlineLevel="0" collapsed="false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customFormat="false" ht="14.25" hidden="false" customHeight="true" outlineLevel="0" collapsed="false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customFormat="false" ht="14.25" hidden="false" customHeight="true" outlineLevel="0" collapsed="false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customFormat="false" ht="14.25" hidden="false" customHeight="true" outlineLevel="0" collapsed="false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customFormat="false" ht="14.25" hidden="false" customHeight="true" outlineLevel="0" collapsed="false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customFormat="false" ht="14.25" hidden="false" customHeight="true" outlineLevel="0" collapsed="false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customFormat="false" ht="14.25" hidden="false" customHeight="true" outlineLevel="0" collapsed="false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customFormat="false" ht="14.25" hidden="false" customHeight="true" outlineLevel="0" collapsed="false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customFormat="false" ht="14.25" hidden="false" customHeight="true" outlineLevel="0" collapsed="false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customFormat="false" ht="14.25" hidden="false" customHeight="true" outlineLevel="0" collapsed="false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customFormat="false" ht="14.25" hidden="false" customHeight="true" outlineLevel="0" collapsed="false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customFormat="false" ht="14.25" hidden="false" customHeight="true" outlineLevel="0" collapsed="false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customFormat="false" ht="14.25" hidden="false" customHeight="true" outlineLevel="0" collapsed="false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customFormat="false" ht="14.25" hidden="false" customHeight="true" outlineLevel="0" collapsed="false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customFormat="false" ht="14.25" hidden="false" customHeight="true" outlineLevel="0" collapsed="false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customFormat="false" ht="14.25" hidden="false" customHeight="true" outlineLevel="0" collapsed="false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customFormat="false" ht="14.25" hidden="false" customHeight="true" outlineLevel="0" collapsed="false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customFormat="false" ht="14.25" hidden="false" customHeight="true" outlineLevel="0" collapsed="false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customFormat="false" ht="14.25" hidden="false" customHeight="true" outlineLevel="0" collapsed="false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customFormat="false" ht="14.25" hidden="false" customHeight="true" outlineLevel="0" collapsed="false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customFormat="false" ht="14.25" hidden="false" customHeight="true" outlineLevel="0" collapsed="false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customFormat="false" ht="14.25" hidden="false" customHeight="true" outlineLevel="0" collapsed="false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customFormat="false" ht="14.25" hidden="false" customHeight="true" outlineLevel="0" collapsed="false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customFormat="false" ht="14.25" hidden="false" customHeight="true" outlineLevel="0" collapsed="false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customFormat="false" ht="14.25" hidden="false" customHeight="true" outlineLevel="0" collapsed="false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customFormat="false" ht="14.25" hidden="false" customHeight="true" outlineLevel="0" collapsed="false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customFormat="false" ht="14.25" hidden="false" customHeight="true" outlineLevel="0" collapsed="false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customFormat="false" ht="14.25" hidden="false" customHeight="true" outlineLevel="0" collapsed="false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customFormat="false" ht="14.25" hidden="false" customHeight="true" outlineLevel="0" collapsed="false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customFormat="false" ht="14.25" hidden="false" customHeight="true" outlineLevel="0" collapsed="false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customFormat="false" ht="14.25" hidden="false" customHeight="true" outlineLevel="0" collapsed="false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customFormat="false" ht="14.25" hidden="false" customHeight="true" outlineLevel="0" collapsed="false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customFormat="false" ht="14.25" hidden="false" customHeight="true" outlineLevel="0" collapsed="false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customFormat="false" ht="14.25" hidden="false" customHeight="true" outlineLevel="0" collapsed="false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customFormat="false" ht="14.25" hidden="false" customHeight="true" outlineLevel="0" collapsed="false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customFormat="false" ht="14.25" hidden="false" customHeight="true" outlineLevel="0" collapsed="false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customFormat="false" ht="14.25" hidden="false" customHeight="true" outlineLevel="0" collapsed="false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customFormat="false" ht="14.25" hidden="false" customHeight="true" outlineLevel="0" collapsed="false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customFormat="false" ht="14.25" hidden="false" customHeight="true" outlineLevel="0" collapsed="false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customFormat="false" ht="14.25" hidden="false" customHeight="true" outlineLevel="0" collapsed="false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customFormat="false" ht="14.25" hidden="false" customHeight="true" outlineLevel="0" collapsed="false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customFormat="false" ht="14.25" hidden="false" customHeight="true" outlineLevel="0" collapsed="false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customFormat="false" ht="14.25" hidden="false" customHeight="true" outlineLevel="0" collapsed="false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customFormat="false" ht="14.25" hidden="false" customHeight="true" outlineLevel="0" collapsed="false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customFormat="false" ht="14.25" hidden="false" customHeight="true" outlineLevel="0" collapsed="false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customFormat="false" ht="14.25" hidden="false" customHeight="true" outlineLevel="0" collapsed="false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customFormat="false" ht="14.25" hidden="false" customHeight="true" outlineLevel="0" collapsed="false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customFormat="false" ht="14.25" hidden="false" customHeight="true" outlineLevel="0" collapsed="false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customFormat="false" ht="14.25" hidden="false" customHeight="true" outlineLevel="0" collapsed="false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customFormat="false" ht="14.25" hidden="false" customHeight="true" outlineLevel="0" collapsed="false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customFormat="false" ht="14.25" hidden="false" customHeight="true" outlineLevel="0" collapsed="false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customFormat="false" ht="14.25" hidden="false" customHeight="true" outlineLevel="0" collapsed="false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customFormat="false" ht="14.25" hidden="false" customHeight="true" outlineLevel="0" collapsed="false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customFormat="false" ht="14.25" hidden="false" customHeight="true" outlineLevel="0" collapsed="false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customFormat="false" ht="14.25" hidden="false" customHeight="true" outlineLevel="0" collapsed="false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customFormat="false" ht="14.25" hidden="false" customHeight="true" outlineLevel="0" collapsed="false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customFormat="false" ht="14.25" hidden="false" customHeight="true" outlineLevel="0" collapsed="false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customFormat="false" ht="14.25" hidden="false" customHeight="true" outlineLevel="0" collapsed="false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customFormat="false" ht="14.25" hidden="false" customHeight="true" outlineLevel="0" collapsed="false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customFormat="false" ht="14.25" hidden="false" customHeight="true" outlineLevel="0" collapsed="false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customFormat="false" ht="14.25" hidden="false" customHeight="true" outlineLevel="0" collapsed="false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customFormat="false" ht="14.25" hidden="false" customHeight="true" outlineLevel="0" collapsed="false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customFormat="false" ht="14.25" hidden="false" customHeight="true" outlineLevel="0" collapsed="false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customFormat="false" ht="14.25" hidden="false" customHeight="true" outlineLevel="0" collapsed="false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customFormat="false" ht="14.25" hidden="false" customHeight="true" outlineLevel="0" collapsed="false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customFormat="false" ht="14.25" hidden="false" customHeight="true" outlineLevel="0" collapsed="false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customFormat="false" ht="14.25" hidden="false" customHeight="true" outlineLevel="0" collapsed="false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customFormat="false" ht="14.25" hidden="false" customHeight="true" outlineLevel="0" collapsed="false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customFormat="false" ht="14.25" hidden="false" customHeight="true" outlineLevel="0" collapsed="false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customFormat="false" ht="14.25" hidden="false" customHeight="true" outlineLevel="0" collapsed="false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customFormat="false" ht="14.25" hidden="false" customHeight="true" outlineLevel="0" collapsed="false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customFormat="false" ht="14.25" hidden="false" customHeight="true" outlineLevel="0" collapsed="false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customFormat="false" ht="14.25" hidden="false" customHeight="true" outlineLevel="0" collapsed="false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customFormat="false" ht="14.25" hidden="false" customHeight="true" outlineLevel="0" collapsed="false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customFormat="false" ht="14.25" hidden="false" customHeight="true" outlineLevel="0" collapsed="false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customFormat="false" ht="14.25" hidden="false" customHeight="true" outlineLevel="0" collapsed="false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customFormat="false" ht="14.25" hidden="false" customHeight="true" outlineLevel="0" collapsed="false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customFormat="false" ht="14.25" hidden="false" customHeight="true" outlineLevel="0" collapsed="false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customFormat="false" ht="14.25" hidden="false" customHeight="true" outlineLevel="0" collapsed="false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customFormat="false" ht="14.25" hidden="false" customHeight="true" outlineLevel="0" collapsed="false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customFormat="false" ht="14.25" hidden="false" customHeight="true" outlineLevel="0" collapsed="false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customFormat="false" ht="14.25" hidden="false" customHeight="true" outlineLevel="0" collapsed="false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customFormat="false" ht="14.25" hidden="false" customHeight="true" outlineLevel="0" collapsed="false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customFormat="false" ht="14.25" hidden="false" customHeight="true" outlineLevel="0" collapsed="false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customFormat="false" ht="14.25" hidden="false" customHeight="true" outlineLevel="0" collapsed="false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customFormat="false" ht="14.25" hidden="false" customHeight="true" outlineLevel="0" collapsed="false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customFormat="false" ht="14.25" hidden="false" customHeight="true" outlineLevel="0" collapsed="false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customFormat="false" ht="14.25" hidden="false" customHeight="true" outlineLevel="0" collapsed="false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customFormat="false" ht="14.25" hidden="false" customHeight="true" outlineLevel="0" collapsed="false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customFormat="false" ht="14.25" hidden="false" customHeight="true" outlineLevel="0" collapsed="false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customFormat="false" ht="14.25" hidden="false" customHeight="true" outlineLevel="0" collapsed="false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customFormat="false" ht="14.25" hidden="false" customHeight="true" outlineLevel="0" collapsed="false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customFormat="false" ht="14.25" hidden="false" customHeight="true" outlineLevel="0" collapsed="false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customFormat="false" ht="14.25" hidden="false" customHeight="true" outlineLevel="0" collapsed="false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customFormat="false" ht="14.25" hidden="false" customHeight="true" outlineLevel="0" collapsed="false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customFormat="false" ht="14.25" hidden="false" customHeight="true" outlineLevel="0" collapsed="false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customFormat="false" ht="14.25" hidden="false" customHeight="true" outlineLevel="0" collapsed="false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customFormat="false" ht="14.25" hidden="false" customHeight="true" outlineLevel="0" collapsed="false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customFormat="false" ht="14.25" hidden="false" customHeight="true" outlineLevel="0" collapsed="false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customFormat="false" ht="14.25" hidden="false" customHeight="true" outlineLevel="0" collapsed="false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customFormat="false" ht="14.25" hidden="false" customHeight="true" outlineLevel="0" collapsed="false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customFormat="false" ht="14.25" hidden="false" customHeight="true" outlineLevel="0" collapsed="false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customFormat="false" ht="14.25" hidden="false" customHeight="true" outlineLevel="0" collapsed="false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customFormat="false" ht="14.25" hidden="false" customHeight="true" outlineLevel="0" collapsed="false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customFormat="false" ht="14.25" hidden="false" customHeight="true" outlineLevel="0" collapsed="false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customFormat="false" ht="14.25" hidden="false" customHeight="true" outlineLevel="0" collapsed="false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customFormat="false" ht="14.25" hidden="false" customHeight="true" outlineLevel="0" collapsed="false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customFormat="false" ht="14.25" hidden="false" customHeight="true" outlineLevel="0" collapsed="false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customFormat="false" ht="14.25" hidden="false" customHeight="true" outlineLevel="0" collapsed="false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customFormat="false" ht="14.25" hidden="false" customHeight="true" outlineLevel="0" collapsed="false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customFormat="false" ht="14.25" hidden="false" customHeight="true" outlineLevel="0" collapsed="false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customFormat="false" ht="14.25" hidden="false" customHeight="true" outlineLevel="0" collapsed="false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customFormat="false" ht="14.25" hidden="false" customHeight="true" outlineLevel="0" collapsed="false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customFormat="false" ht="14.25" hidden="false" customHeight="true" outlineLevel="0" collapsed="false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customFormat="false" ht="14.25" hidden="false" customHeight="true" outlineLevel="0" collapsed="false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customFormat="false" ht="14.25" hidden="false" customHeight="true" outlineLevel="0" collapsed="false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customFormat="false" ht="14.25" hidden="false" customHeight="true" outlineLevel="0" collapsed="false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customFormat="false" ht="14.25" hidden="false" customHeight="true" outlineLevel="0" collapsed="false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customFormat="false" ht="14.25" hidden="false" customHeight="true" outlineLevel="0" collapsed="false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customFormat="false" ht="14.25" hidden="false" customHeight="true" outlineLevel="0" collapsed="false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customFormat="false" ht="14.25" hidden="false" customHeight="true" outlineLevel="0" collapsed="false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customFormat="false" ht="14.25" hidden="false" customHeight="true" outlineLevel="0" collapsed="false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customFormat="false" ht="14.25" hidden="false" customHeight="true" outlineLevel="0" collapsed="false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customFormat="false" ht="14.25" hidden="false" customHeight="true" outlineLevel="0" collapsed="false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customFormat="false" ht="14.25" hidden="false" customHeight="true" outlineLevel="0" collapsed="false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customFormat="false" ht="14.25" hidden="false" customHeight="true" outlineLevel="0" collapsed="false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customFormat="false" ht="14.25" hidden="false" customHeight="true" outlineLevel="0" collapsed="false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customFormat="false" ht="14.25" hidden="false" customHeight="true" outlineLevel="0" collapsed="false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customFormat="false" ht="14.25" hidden="false" customHeight="true" outlineLevel="0" collapsed="false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customFormat="false" ht="14.25" hidden="false" customHeight="true" outlineLevel="0" collapsed="false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customFormat="false" ht="14.25" hidden="false" customHeight="true" outlineLevel="0" collapsed="false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customFormat="false" ht="14.25" hidden="false" customHeight="true" outlineLevel="0" collapsed="false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customFormat="false" ht="14.25" hidden="false" customHeight="true" outlineLevel="0" collapsed="false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customFormat="false" ht="14.25" hidden="false" customHeight="true" outlineLevel="0" collapsed="false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customFormat="false" ht="14.25" hidden="false" customHeight="true" outlineLevel="0" collapsed="false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customFormat="false" ht="14.25" hidden="false" customHeight="true" outlineLevel="0" collapsed="false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customFormat="false" ht="14.25" hidden="false" customHeight="true" outlineLevel="0" collapsed="false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customFormat="false" ht="14.25" hidden="false" customHeight="true" outlineLevel="0" collapsed="false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customFormat="false" ht="14.25" hidden="false" customHeight="true" outlineLevel="0" collapsed="false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customFormat="false" ht="14.25" hidden="false" customHeight="true" outlineLevel="0" collapsed="false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customFormat="false" ht="14.25" hidden="false" customHeight="true" outlineLevel="0" collapsed="false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customFormat="false" ht="14.25" hidden="false" customHeight="true" outlineLevel="0" collapsed="false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customFormat="false" ht="14.25" hidden="false" customHeight="true" outlineLevel="0" collapsed="false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customFormat="false" ht="14.25" hidden="false" customHeight="true" outlineLevel="0" collapsed="false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customFormat="false" ht="14.25" hidden="false" customHeight="true" outlineLevel="0" collapsed="false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customFormat="false" ht="14.25" hidden="false" customHeight="true" outlineLevel="0" collapsed="false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customFormat="false" ht="14.25" hidden="false" customHeight="true" outlineLevel="0" collapsed="false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customFormat="false" ht="14.25" hidden="false" customHeight="true" outlineLevel="0" collapsed="false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customFormat="false" ht="14.25" hidden="false" customHeight="true" outlineLevel="0" collapsed="false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customFormat="false" ht="14.25" hidden="false" customHeight="true" outlineLevel="0" collapsed="false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customFormat="false" ht="14.25" hidden="false" customHeight="true" outlineLevel="0" collapsed="false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customFormat="false" ht="14.25" hidden="false" customHeight="true" outlineLevel="0" collapsed="false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customFormat="false" ht="14.25" hidden="false" customHeight="true" outlineLevel="0" collapsed="false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customFormat="false" ht="14.25" hidden="false" customHeight="true" outlineLevel="0" collapsed="false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customFormat="false" ht="14.25" hidden="false" customHeight="true" outlineLevel="0" collapsed="false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customFormat="false" ht="14.25" hidden="false" customHeight="true" outlineLevel="0" collapsed="false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customFormat="false" ht="14.25" hidden="false" customHeight="true" outlineLevel="0" collapsed="false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customFormat="false" ht="14.25" hidden="false" customHeight="true" outlineLevel="0" collapsed="false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customFormat="false" ht="14.25" hidden="false" customHeight="true" outlineLevel="0" collapsed="false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customFormat="false" ht="14.25" hidden="false" customHeight="true" outlineLevel="0" collapsed="false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customFormat="false" ht="14.25" hidden="false" customHeight="true" outlineLevel="0" collapsed="false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customFormat="false" ht="14.25" hidden="false" customHeight="true" outlineLevel="0" collapsed="false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customFormat="false" ht="14.25" hidden="false" customHeight="true" outlineLevel="0" collapsed="false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customFormat="false" ht="14.25" hidden="false" customHeight="true" outlineLevel="0" collapsed="false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customFormat="false" ht="14.25" hidden="false" customHeight="true" outlineLevel="0" collapsed="false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customFormat="false" ht="14.25" hidden="false" customHeight="true" outlineLevel="0" collapsed="false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customFormat="false" ht="14.25" hidden="false" customHeight="true" outlineLevel="0" collapsed="false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customFormat="false" ht="14.25" hidden="false" customHeight="true" outlineLevel="0" collapsed="false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customFormat="false" ht="14.25" hidden="false" customHeight="true" outlineLevel="0" collapsed="false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customFormat="false" ht="14.25" hidden="false" customHeight="true" outlineLevel="0" collapsed="false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customFormat="false" ht="14.25" hidden="false" customHeight="true" outlineLevel="0" collapsed="false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customFormat="false" ht="14.25" hidden="false" customHeight="true" outlineLevel="0" collapsed="false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customFormat="false" ht="14.25" hidden="false" customHeight="true" outlineLevel="0" collapsed="false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customFormat="false" ht="14.25" hidden="false" customHeight="true" outlineLevel="0" collapsed="false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customFormat="false" ht="14.25" hidden="false" customHeight="true" outlineLevel="0" collapsed="false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customFormat="false" ht="14.25" hidden="false" customHeight="true" outlineLevel="0" collapsed="false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customFormat="false" ht="14.25" hidden="false" customHeight="true" outlineLevel="0" collapsed="false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customFormat="false" ht="14.25" hidden="false" customHeight="true" outlineLevel="0" collapsed="false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customFormat="false" ht="14.25" hidden="false" customHeight="true" outlineLevel="0" collapsed="false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customFormat="false" ht="14.25" hidden="false" customHeight="true" outlineLevel="0" collapsed="false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customFormat="false" ht="14.25" hidden="false" customHeight="true" outlineLevel="0" collapsed="false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customFormat="false" ht="14.25" hidden="false" customHeight="true" outlineLevel="0" collapsed="false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customFormat="false" ht="14.25" hidden="false" customHeight="true" outlineLevel="0" collapsed="false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customFormat="false" ht="14.25" hidden="false" customHeight="true" outlineLevel="0" collapsed="false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customFormat="false" ht="14.25" hidden="false" customHeight="true" outlineLevel="0" collapsed="false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customFormat="false" ht="14.25" hidden="false" customHeight="true" outlineLevel="0" collapsed="false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customFormat="false" ht="14.25" hidden="false" customHeight="true" outlineLevel="0" collapsed="false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customFormat="false" ht="14.25" hidden="false" customHeight="true" outlineLevel="0" collapsed="false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customFormat="false" ht="14.25" hidden="false" customHeight="true" outlineLevel="0" collapsed="false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customFormat="false" ht="14.25" hidden="false" customHeight="true" outlineLevel="0" collapsed="false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customFormat="false" ht="14.25" hidden="false" customHeight="true" outlineLevel="0" collapsed="false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customFormat="false" ht="14.25" hidden="false" customHeight="true" outlineLevel="0" collapsed="false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customFormat="false" ht="14.25" hidden="false" customHeight="true" outlineLevel="0" collapsed="false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customFormat="false" ht="14.25" hidden="false" customHeight="true" outlineLevel="0" collapsed="false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customFormat="false" ht="14.25" hidden="false" customHeight="true" outlineLevel="0" collapsed="false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customFormat="false" ht="14.25" hidden="false" customHeight="true" outlineLevel="0" collapsed="false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customFormat="false" ht="14.25" hidden="false" customHeight="true" outlineLevel="0" collapsed="false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customFormat="false" ht="14.25" hidden="false" customHeight="true" outlineLevel="0" collapsed="false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customFormat="false" ht="14.25" hidden="false" customHeight="true" outlineLevel="0" collapsed="false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customFormat="false" ht="14.25" hidden="false" customHeight="true" outlineLevel="0" collapsed="false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customFormat="false" ht="14.25" hidden="false" customHeight="true" outlineLevel="0" collapsed="false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customFormat="false" ht="14.25" hidden="false" customHeight="true" outlineLevel="0" collapsed="false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customFormat="false" ht="14.25" hidden="false" customHeight="true" outlineLevel="0" collapsed="false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customFormat="false" ht="14.25" hidden="false" customHeight="true" outlineLevel="0" collapsed="false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customFormat="false" ht="14.25" hidden="false" customHeight="true" outlineLevel="0" collapsed="false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customFormat="false" ht="14.25" hidden="false" customHeight="true" outlineLevel="0" collapsed="false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customFormat="false" ht="14.25" hidden="false" customHeight="true" outlineLevel="0" collapsed="false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customFormat="false" ht="14.25" hidden="false" customHeight="true" outlineLevel="0" collapsed="false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customFormat="false" ht="14.25" hidden="false" customHeight="true" outlineLevel="0" collapsed="false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customFormat="false" ht="14.25" hidden="false" customHeight="true" outlineLevel="0" collapsed="false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customFormat="false" ht="14.25" hidden="false" customHeight="true" outlineLevel="0" collapsed="false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</row>
    <row r="971" customFormat="false" ht="14.25" hidden="false" customHeight="true" outlineLevel="0" collapsed="false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</row>
    <row r="972" customFormat="false" ht="14.25" hidden="false" customHeight="true" outlineLevel="0" collapsed="false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</row>
    <row r="973" customFormat="false" ht="14.25" hidden="false" customHeight="true" outlineLevel="0" collapsed="false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</row>
    <row r="974" customFormat="false" ht="14.25" hidden="false" customHeight="true" outlineLevel="0" collapsed="false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</row>
    <row r="975" customFormat="false" ht="14.25" hidden="false" customHeight="true" outlineLevel="0" collapsed="false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</row>
    <row r="976" customFormat="false" ht="14.25" hidden="false" customHeight="true" outlineLevel="0" collapsed="false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</row>
    <row r="977" customFormat="false" ht="14.25" hidden="false" customHeight="true" outlineLevel="0" collapsed="false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</row>
    <row r="978" customFormat="false" ht="14.25" hidden="false" customHeight="true" outlineLevel="0" collapsed="false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</row>
    <row r="979" customFormat="false" ht="14.25" hidden="false" customHeight="true" outlineLevel="0" collapsed="false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</row>
    <row r="980" customFormat="false" ht="14.25" hidden="false" customHeight="true" outlineLevel="0" collapsed="false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</row>
    <row r="981" customFormat="false" ht="14.25" hidden="false" customHeight="true" outlineLevel="0" collapsed="false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</row>
    <row r="982" customFormat="false" ht="14.25" hidden="false" customHeight="true" outlineLevel="0" collapsed="false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</row>
    <row r="983" customFormat="false" ht="14.25" hidden="false" customHeight="true" outlineLevel="0" collapsed="false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</row>
    <row r="984" customFormat="false" ht="14.25" hidden="false" customHeight="true" outlineLevel="0" collapsed="false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</row>
    <row r="985" customFormat="false" ht="14.25" hidden="false" customHeight="true" outlineLevel="0" collapsed="false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</row>
    <row r="986" customFormat="false" ht="14.25" hidden="false" customHeight="true" outlineLevel="0" collapsed="false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</row>
    <row r="987" customFormat="false" ht="14.25" hidden="false" customHeight="true" outlineLevel="0" collapsed="false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</row>
    <row r="988" customFormat="false" ht="14.25" hidden="false" customHeight="true" outlineLevel="0" collapsed="false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</row>
    <row r="989" customFormat="false" ht="14.25" hidden="false" customHeight="true" outlineLevel="0" collapsed="false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</row>
    <row r="990" customFormat="false" ht="14.25" hidden="false" customHeight="true" outlineLevel="0" collapsed="false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</row>
    <row r="991" customFormat="false" ht="14.25" hidden="false" customHeight="true" outlineLevel="0" collapsed="false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</row>
    <row r="992" customFormat="false" ht="14.25" hidden="false" customHeight="true" outlineLevel="0" collapsed="false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</row>
    <row r="993" customFormat="false" ht="14.25" hidden="false" customHeight="true" outlineLevel="0" collapsed="false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</row>
    <row r="994" customFormat="false" ht="14.25" hidden="false" customHeight="true" outlineLevel="0" collapsed="false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</row>
    <row r="995" customFormat="false" ht="14.25" hidden="false" customHeight="true" outlineLevel="0" collapsed="false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</row>
    <row r="996" customFormat="false" ht="14.25" hidden="false" customHeight="true" outlineLevel="0" collapsed="false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</row>
    <row r="997" customFormat="false" ht="14.25" hidden="false" customHeight="true" outlineLevel="0" collapsed="false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</row>
    <row r="998" customFormat="false" ht="14.25" hidden="false" customHeight="true" outlineLevel="0" collapsed="false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</row>
    <row r="999" customFormat="false" ht="14.25" hidden="false" customHeight="true" outlineLevel="0" collapsed="false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</row>
    <row r="1000" customFormat="false" ht="14.25" hidden="false" customHeight="true" outlineLevel="0" collapsed="false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</row>
  </sheetData>
  <mergeCells count="47">
    <mergeCell ref="A2:I2"/>
    <mergeCell ref="A3:I3"/>
    <mergeCell ref="A4:I4"/>
    <mergeCell ref="A5:I5"/>
    <mergeCell ref="A6:I6"/>
    <mergeCell ref="A9:I9"/>
    <mergeCell ref="B13:H13"/>
    <mergeCell ref="B16:H16"/>
    <mergeCell ref="B18:G18"/>
    <mergeCell ref="B19:G19"/>
    <mergeCell ref="K20:M21"/>
    <mergeCell ref="N20:N21"/>
    <mergeCell ref="O20:O21"/>
    <mergeCell ref="P20:P21"/>
    <mergeCell ref="B21:F21"/>
    <mergeCell ref="K22:M22"/>
    <mergeCell ref="K23:M23"/>
    <mergeCell ref="K24:M24"/>
    <mergeCell ref="K25:M25"/>
    <mergeCell ref="K26:M26"/>
    <mergeCell ref="K27:M27"/>
    <mergeCell ref="K28:M28"/>
    <mergeCell ref="K29:M29"/>
    <mergeCell ref="B34:B35"/>
    <mergeCell ref="C34:C35"/>
    <mergeCell ref="E34:E35"/>
    <mergeCell ref="F34:F35"/>
    <mergeCell ref="G34:H35"/>
    <mergeCell ref="K34:M35"/>
    <mergeCell ref="N34:N35"/>
    <mergeCell ref="O34:O35"/>
    <mergeCell ref="P34:P35"/>
    <mergeCell ref="C37:H37"/>
    <mergeCell ref="B40:H44"/>
    <mergeCell ref="B48:H48"/>
    <mergeCell ref="D53:F53"/>
    <mergeCell ref="D54:F54"/>
    <mergeCell ref="D55:F55"/>
    <mergeCell ref="K60:M60"/>
    <mergeCell ref="N60:P60"/>
    <mergeCell ref="Q60:S60"/>
    <mergeCell ref="T60:V60"/>
    <mergeCell ref="W60:Y60"/>
    <mergeCell ref="Z60:AB60"/>
    <mergeCell ref="AC60:AE60"/>
    <mergeCell ref="AF60:AH60"/>
    <mergeCell ref="AI60:AK60"/>
  </mergeCells>
  <conditionalFormatting sqref="K30:M30">
    <cfRule type="expression" priority="2" aboveAverage="0" equalAverage="0" bottom="0" percent="0" rank="0" text="" dxfId="0">
      <formula>AND(K30&lt;&gt;"OK",K30&lt;&gt;"-",K30&lt;&gt;"")</formula>
    </cfRule>
  </conditionalFormatting>
  <conditionalFormatting sqref="K30:M30">
    <cfRule type="cellIs" priority="3" operator="equal" aboveAverage="0" equalAverage="0" bottom="0" percent="0" rank="0" text="" dxfId="1">
      <formula>"OK"</formula>
    </cfRule>
  </conditionalFormatting>
  <conditionalFormatting sqref="K22:M29 K34:M34">
    <cfRule type="expression" priority="4" aboveAverage="0" equalAverage="0" bottom="0" percent="0" rank="0" text="" dxfId="2">
      <formula>AND(K22&lt;&gt;"OK",K22&lt;&gt;"-",K22&lt;&gt;"")</formula>
    </cfRule>
  </conditionalFormatting>
  <conditionalFormatting sqref="K22:M29 K34:M34">
    <cfRule type="cellIs" priority="5" operator="equal" aboveAverage="0" equalAverage="0" bottom="0" percent="0" rank="0" text="" dxfId="3">
      <formula>"OK"</formula>
    </cfRule>
  </conditionalFormatting>
  <dataValidations count="2">
    <dataValidation allowBlank="true" operator="between" showDropDown="false" showErrorMessage="true" showInputMessage="false" sqref="B13" type="list">
      <formula1>"(Selecionar),Construção e reforma de edifícios,Construção de praças urbanas,rodovias,ferrovias,recapeamento e pavimentação de vias urbanas,Construção de redes de abastecimento de água,coleta de esgoto,Construção e manutenção de estações e redes de dis"</formula1>
      <formula2>0</formula2>
    </dataValidation>
    <dataValidation allowBlank="true" operator="between" showDropDown="false" showErrorMessage="true" showInputMessage="false" sqref="B16" type="list">
      <formula1>"Desonerado,Não Desonerado"</formula1>
      <formula2>0</formula2>
    </dataValidation>
  </dataValidations>
  <printOptions headings="false" gridLines="false" gridLinesSet="true" horizontalCentered="false" verticalCentered="false"/>
  <pageMargins left="1.18125" right="0.78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D7D7"/>
    <pageSetUpPr fitToPage="true"/>
  </sheetPr>
  <dimension ref="A1:AK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40625" defaultRowHeight="15" zeroHeight="false" outlineLevelRow="0" outlineLevelCol="0"/>
  <cols>
    <col collapsed="false" customWidth="true" hidden="false" outlineLevel="0" max="1" min="1" style="0" width="4.37"/>
    <col collapsed="false" customWidth="true" hidden="false" outlineLevel="0" max="2" min="2" style="0" width="19"/>
    <col collapsed="false" customWidth="true" hidden="false" outlineLevel="0" max="3" min="3" style="0" width="7.87"/>
    <col collapsed="false" customWidth="true" hidden="false" outlineLevel="0" max="4" min="4" style="0" width="33"/>
    <col collapsed="false" customWidth="true" hidden="false" outlineLevel="0" max="5" min="5" style="0" width="11.5"/>
    <col collapsed="false" customWidth="true" hidden="false" outlineLevel="0" max="6" min="6" style="0" width="13.88"/>
    <col collapsed="false" customWidth="true" hidden="false" outlineLevel="0" max="7" min="7" style="0" width="8.38"/>
    <col collapsed="false" customWidth="true" hidden="false" outlineLevel="0" max="8" min="8" style="0" width="12.37"/>
    <col collapsed="false" customWidth="true" hidden="false" outlineLevel="0" max="9" min="9" style="0" width="2.63"/>
    <col collapsed="false" customWidth="true" hidden="false" outlineLevel="0" max="13" min="10" style="0" width="11.5"/>
    <col collapsed="false" customWidth="true" hidden="false" outlineLevel="0" max="14" min="14" style="0" width="13.37"/>
    <col collapsed="false" customWidth="true" hidden="false" outlineLevel="0" max="15" min="15" style="0" width="8.75"/>
    <col collapsed="false" customWidth="true" hidden="false" outlineLevel="0" max="16" min="16" style="0" width="13.37"/>
    <col collapsed="false" customWidth="true" hidden="false" outlineLevel="0" max="37" min="17" style="0" width="11.5"/>
  </cols>
  <sheetData>
    <row r="1" customFormat="false" ht="14.2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customFormat="false" ht="14.25" hidden="false" customHeight="true" outlineLevel="0" collapsed="false">
      <c r="A2" s="145" t="str">
        <f aca="false">FOLHA_ROSTO!$B$11</f>
        <v>UNIVERSIDADE FEDERAL DA FRONTEIRA SUL</v>
      </c>
      <c r="B2" s="145"/>
      <c r="C2" s="145"/>
      <c r="D2" s="145"/>
      <c r="E2" s="145"/>
      <c r="F2" s="145"/>
      <c r="G2" s="145"/>
      <c r="H2" s="145"/>
      <c r="I2" s="145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customFormat="false" ht="14.25" hidden="false" customHeight="true" outlineLevel="0" collapsed="false">
      <c r="A3" s="145" t="str">
        <f aca="false">FOLHA_ROSTO!$B$15</f>
        <v>SECRETARIA ESPECIAL DE OBRAS</v>
      </c>
      <c r="B3" s="145"/>
      <c r="C3" s="145"/>
      <c r="D3" s="145"/>
      <c r="E3" s="145"/>
      <c r="F3" s="145"/>
      <c r="G3" s="145"/>
      <c r="H3" s="145"/>
      <c r="I3" s="14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customFormat="false" ht="14.25" hidden="false" customHeight="true" outlineLevel="0" collapsed="false">
      <c r="A4" s="145" t="str">
        <f aca="false">FOLHA_ROSTO!$B$13</f>
        <v>CAMPUS LARANJEIRAS DO SUL</v>
      </c>
      <c r="B4" s="145"/>
      <c r="C4" s="145"/>
      <c r="D4" s="145"/>
      <c r="E4" s="145"/>
      <c r="F4" s="145"/>
      <c r="G4" s="145"/>
      <c r="H4" s="145"/>
      <c r="I4" s="14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customFormat="false" ht="14.25" hidden="false" customHeight="true" outlineLevel="0" collapsed="false">
      <c r="A5" s="146" t="str">
        <f aca="false">FOLHA_ROSTO!$B$6</f>
        <v>COMPLEMENTAÇÃO DOS ESTACIONAMENTOS ACESSÍVEIS</v>
      </c>
      <c r="B5" s="146"/>
      <c r="C5" s="146"/>
      <c r="D5" s="146"/>
      <c r="E5" s="146"/>
      <c r="F5" s="146"/>
      <c r="G5" s="146"/>
      <c r="H5" s="146"/>
      <c r="I5" s="14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customFormat="false" ht="14.25" hidden="false" customHeight="true" outlineLevel="0" collapsed="false">
      <c r="A6" s="147" t="str">
        <f aca="false">FOLHA_ROSTO!$B$17</f>
        <v>LARANJEIRAS DO SUL – PR</v>
      </c>
      <c r="B6" s="147"/>
      <c r="C6" s="147"/>
      <c r="D6" s="147"/>
      <c r="E6" s="147"/>
      <c r="F6" s="147"/>
      <c r="G6" s="147"/>
      <c r="H6" s="147"/>
      <c r="I6" s="14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customFormat="false" ht="14.25" hidden="false" customHeight="true" outlineLevel="0" collapsed="false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customFormat="false" ht="14.2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customFormat="false" ht="27.75" hidden="false" customHeight="true" outlineLevel="0" collapsed="false">
      <c r="A9" s="148" t="s">
        <v>320</v>
      </c>
      <c r="B9" s="148"/>
      <c r="C9" s="148"/>
      <c r="D9" s="148"/>
      <c r="E9" s="148"/>
      <c r="F9" s="148"/>
      <c r="G9" s="148"/>
      <c r="H9" s="148"/>
      <c r="I9" s="14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customFormat="false" ht="14.25" hidden="false" customHeight="true" outlineLevel="0" collapsed="false">
      <c r="A10" s="149"/>
      <c r="B10" s="149"/>
      <c r="C10" s="149"/>
      <c r="D10" s="149"/>
      <c r="E10" s="149"/>
      <c r="F10" s="149"/>
      <c r="G10" s="149"/>
      <c r="H10" s="149"/>
      <c r="I10" s="14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customFormat="false" ht="14.25" hidden="false" customHeight="true" outlineLevel="0" collapsed="false">
      <c r="A11" s="5"/>
      <c r="B11" s="1"/>
      <c r="C11" s="1"/>
      <c r="D11" s="1"/>
      <c r="E11" s="117"/>
      <c r="F11" s="1"/>
      <c r="G11" s="1"/>
      <c r="H11" s="1"/>
      <c r="I11" s="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customFormat="false" ht="14.25" hidden="false" customHeight="true" outlineLevel="0" collapsed="false">
      <c r="A12" s="5"/>
      <c r="B12" s="150" t="s">
        <v>276</v>
      </c>
      <c r="C12" s="1"/>
      <c r="D12" s="1"/>
      <c r="E12" s="117"/>
      <c r="F12" s="1"/>
      <c r="G12" s="1"/>
      <c r="H12" s="1"/>
      <c r="I12" s="6"/>
      <c r="J12" s="1"/>
      <c r="K12" s="1"/>
      <c r="L12" s="15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customFormat="false" ht="14.25" hidden="false" customHeight="true" outlineLevel="0" collapsed="false">
      <c r="A13" s="5"/>
      <c r="B13" s="152" t="s">
        <v>317</v>
      </c>
      <c r="C13" s="152"/>
      <c r="D13" s="152"/>
      <c r="E13" s="152"/>
      <c r="F13" s="152"/>
      <c r="G13" s="152"/>
      <c r="H13" s="152"/>
      <c r="I13" s="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customFormat="false" ht="14.25" hidden="false" customHeight="true" outlineLevel="0" collapsed="false">
      <c r="A14" s="5"/>
      <c r="B14" s="153"/>
      <c r="C14" s="1"/>
      <c r="D14" s="1"/>
      <c r="E14" s="117"/>
      <c r="F14" s="1"/>
      <c r="G14" s="1"/>
      <c r="H14" s="1"/>
      <c r="I14" s="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customFormat="false" ht="14.25" hidden="false" customHeight="true" outlineLevel="0" collapsed="false">
      <c r="A15" s="5"/>
      <c r="B15" s="153" t="s">
        <v>278</v>
      </c>
      <c r="C15" s="1"/>
      <c r="D15" s="1"/>
      <c r="E15" s="117"/>
      <c r="F15" s="1"/>
      <c r="G15" s="1"/>
      <c r="H15" s="1"/>
      <c r="I15" s="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customFormat="false" ht="14.25" hidden="false" customHeight="true" outlineLevel="0" collapsed="false">
      <c r="A16" s="5"/>
      <c r="B16" s="152" t="s">
        <v>279</v>
      </c>
      <c r="C16" s="152"/>
      <c r="D16" s="152"/>
      <c r="E16" s="152"/>
      <c r="F16" s="152"/>
      <c r="G16" s="152"/>
      <c r="H16" s="152"/>
      <c r="I16" s="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customFormat="false" ht="14.25" hidden="false" customHeight="true" outlineLevel="0" collapsed="false">
      <c r="A17" s="5"/>
      <c r="B17" s="150"/>
      <c r="C17" s="1"/>
      <c r="D17" s="1"/>
      <c r="E17" s="117"/>
      <c r="F17" s="1"/>
      <c r="G17" s="1"/>
      <c r="H17" s="1"/>
      <c r="I17" s="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customFormat="false" ht="24.75" hidden="false" customHeight="true" outlineLevel="0" collapsed="false">
      <c r="A18" s="5"/>
      <c r="B18" s="154" t="s">
        <v>280</v>
      </c>
      <c r="C18" s="154"/>
      <c r="D18" s="154"/>
      <c r="E18" s="154"/>
      <c r="F18" s="154"/>
      <c r="G18" s="154"/>
      <c r="H18" s="155" t="n">
        <v>0</v>
      </c>
      <c r="I18" s="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customFormat="false" ht="14.25" hidden="false" customHeight="true" outlineLevel="0" collapsed="false">
      <c r="A19" s="5"/>
      <c r="B19" s="154" t="s">
        <v>281</v>
      </c>
      <c r="C19" s="154"/>
      <c r="D19" s="154"/>
      <c r="E19" s="154"/>
      <c r="F19" s="154"/>
      <c r="G19" s="154"/>
      <c r="H19" s="155" t="n">
        <v>0</v>
      </c>
      <c r="I19" s="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customFormat="false" ht="14.25" hidden="false" customHeight="true" outlineLevel="0" collapsed="false">
      <c r="A20" s="5"/>
      <c r="B20" s="150"/>
      <c r="C20" s="1"/>
      <c r="D20" s="1"/>
      <c r="E20" s="117"/>
      <c r="F20" s="1"/>
      <c r="G20" s="1"/>
      <c r="H20" s="1"/>
      <c r="I20" s="6"/>
      <c r="J20" s="1"/>
      <c r="K20" s="156" t="s">
        <v>282</v>
      </c>
      <c r="L20" s="156"/>
      <c r="M20" s="156"/>
      <c r="N20" s="157" t="s">
        <v>283</v>
      </c>
      <c r="O20" s="157" t="s">
        <v>284</v>
      </c>
      <c r="P20" s="157" t="s">
        <v>285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customFormat="false" ht="14.25" hidden="false" customHeight="true" outlineLevel="0" collapsed="false">
      <c r="A21" s="5"/>
      <c r="B21" s="158" t="s">
        <v>286</v>
      </c>
      <c r="C21" s="158"/>
      <c r="D21" s="158"/>
      <c r="E21" s="158"/>
      <c r="F21" s="158"/>
      <c r="G21" s="159" t="s">
        <v>287</v>
      </c>
      <c r="H21" s="160" t="s">
        <v>288</v>
      </c>
      <c r="I21" s="6"/>
      <c r="J21" s="1"/>
      <c r="K21" s="156"/>
      <c r="L21" s="156"/>
      <c r="M21" s="156"/>
      <c r="N21" s="157"/>
      <c r="O21" s="157"/>
      <c r="P21" s="157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customFormat="false" ht="14.25" hidden="false" customHeight="true" outlineLevel="0" collapsed="false">
      <c r="A22" s="161"/>
      <c r="B22" s="162"/>
      <c r="C22" s="163"/>
      <c r="D22" s="164"/>
      <c r="E22" s="163"/>
      <c r="F22" s="165" t="str">
        <f aca="false">IF($B$13=$A$70,"Encargos sociais incidentes sobre a mão de obra","Administração Central")</f>
        <v>Administração Central</v>
      </c>
      <c r="G22" s="166" t="str">
        <f aca="false">IF($B$13=$A$70,"K1","AC")</f>
        <v>AC</v>
      </c>
      <c r="H22" s="167" t="n">
        <v>0.0345</v>
      </c>
      <c r="I22" s="6"/>
      <c r="J22" s="1"/>
      <c r="K22" s="168" t="str">
        <f aca="false">IF(OR($B$13=$A$69, $B$13=$A$70,AND($H22 &gt;= $N22,  $H22 &lt;= $P22)),"OK","FORA DO INTERVALO")</f>
        <v>OK</v>
      </c>
      <c r="L22" s="168"/>
      <c r="M22" s="168"/>
      <c r="N22" s="169" t="n">
        <f aca="false">VLOOKUP($B$13,$A$62:$AK$70,IF($B$13=$A$70,26,11),FALSE())</f>
        <v>0.015</v>
      </c>
      <c r="O22" s="169" t="n">
        <f aca="false">VLOOKUP($B$13,$A$62:$AK$70,IF($B$13=$A$70,27,12),FALSE())</f>
        <v>0.0345</v>
      </c>
      <c r="P22" s="169" t="n">
        <f aca="false">VLOOKUP($B$13,$A$62:$AK$70,IF($B$13=$A$70,28,13),FALSE())</f>
        <v>0.0449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customFormat="false" ht="14.25" hidden="false" customHeight="true" outlineLevel="0" collapsed="false">
      <c r="A23" s="161"/>
      <c r="B23" s="162"/>
      <c r="C23" s="163"/>
      <c r="D23" s="164"/>
      <c r="E23" s="163"/>
      <c r="F23" s="165" t="str">
        <f aca="false">IF($B$13=$A$70,"Administração central da empresa ou consultoria - overhead","Seguro + Garantia")</f>
        <v>Seguro + Garantia</v>
      </c>
      <c r="G23" s="166" t="str">
        <f aca="false">IF($B$13=$A$70,"K2","SG")</f>
        <v>SG</v>
      </c>
      <c r="H23" s="167" t="n">
        <v>0.0048</v>
      </c>
      <c r="I23" s="6"/>
      <c r="J23" s="1"/>
      <c r="K23" s="168" t="str">
        <f aca="false">IF(OR($B$13=$A$69, $B$13=$A$70,AND($H23 &gt;= $N23,  $H23 &lt;= $P23)),"OK","FORA DO INTERVALO")</f>
        <v>OK</v>
      </c>
      <c r="L23" s="168"/>
      <c r="M23" s="168"/>
      <c r="N23" s="169" t="n">
        <f aca="false">VLOOKUP($B$13,$A$62:$AK$70,IF($B$13=$A$70,29,14),FALSE())</f>
        <v>0.003</v>
      </c>
      <c r="O23" s="169" t="n">
        <f aca="false">VLOOKUP($B$13,$A$62:$AK$70,IF($B$13=$A$70,30,15),FALSE())</f>
        <v>0.0048</v>
      </c>
      <c r="P23" s="169" t="n">
        <f aca="false">VLOOKUP($B$13,$A$62:$AK$70,IF($B$13=$A$70,31,16),FALSE())</f>
        <v>0.0082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customFormat="false" ht="14.25" hidden="false" customHeight="true" outlineLevel="0" collapsed="false">
      <c r="A24" s="161"/>
      <c r="B24" s="162"/>
      <c r="C24" s="163"/>
      <c r="D24" s="164"/>
      <c r="E24" s="163"/>
      <c r="F24" s="165" t="str">
        <f aca="false">IF($B$13=$A$70,"","Risco")</f>
        <v>Risco</v>
      </c>
      <c r="G24" s="166" t="str">
        <f aca="false">IF($B$13=$A$70,"","R")</f>
        <v>R</v>
      </c>
      <c r="H24" s="167" t="n">
        <v>0.0085</v>
      </c>
      <c r="I24" s="6"/>
      <c r="J24" s="1"/>
      <c r="K24" s="168" t="str">
        <f aca="false">IF(OR($B$13=$A$69, $B$13=$A$70,AND($H24 &gt;= $N24,  $H24 &lt;= $P24)),"OK","FORA DO INTERVALO")</f>
        <v>OK</v>
      </c>
      <c r="L24" s="168"/>
      <c r="M24" s="168"/>
      <c r="N24" s="169" t="n">
        <f aca="false">VLOOKUP($B$13,$A$62:$AK$70,17,FALSE())</f>
        <v>0.0056</v>
      </c>
      <c r="O24" s="169" t="n">
        <f aca="false">VLOOKUP($B$13,$A$62:$AK$70,18,FALSE())</f>
        <v>0.0085</v>
      </c>
      <c r="P24" s="169" t="n">
        <f aca="false">VLOOKUP($B$13,$A$62:$AK$70,19,FALSE())</f>
        <v>0.0089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customFormat="false" ht="14.25" hidden="false" customHeight="true" outlineLevel="0" collapsed="false">
      <c r="A25" s="161"/>
      <c r="B25" s="162"/>
      <c r="C25" s="163"/>
      <c r="D25" s="164"/>
      <c r="E25" s="163"/>
      <c r="F25" s="165" t="str">
        <f aca="false">IF($B$13=$A$70,"","Despesas Financeiras")</f>
        <v>Despesas Financeiras</v>
      </c>
      <c r="G25" s="166" t="str">
        <f aca="false">IF($B$13=$A$70,"","DF")</f>
        <v>DF</v>
      </c>
      <c r="H25" s="167" t="n">
        <v>0.0085</v>
      </c>
      <c r="I25" s="6"/>
      <c r="J25" s="1"/>
      <c r="K25" s="168" t="str">
        <f aca="false">IF(OR($B$13=$A$69, $B$13=$A$70,AND($H25 &gt;= $N25,  $H25 &lt;= $P25)),"OK","FORA DO INTERVALO")</f>
        <v>OK</v>
      </c>
      <c r="L25" s="168"/>
      <c r="M25" s="168"/>
      <c r="N25" s="169" t="n">
        <f aca="false">VLOOKUP($B$13,$A$62:$AK$70,20,FALSE())</f>
        <v>0.0085</v>
      </c>
      <c r="O25" s="169" t="n">
        <f aca="false">VLOOKUP($B$13,$A$62:$AK$70,21,FALSE())</f>
        <v>0.0085</v>
      </c>
      <c r="P25" s="169" t="n">
        <f aca="false">VLOOKUP($B$13,$A$62:$AK$70,22,FALSE())</f>
        <v>0.0111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customFormat="false" ht="14.25" hidden="false" customHeight="true" outlineLevel="0" collapsed="false">
      <c r="A26" s="161"/>
      <c r="B26" s="162"/>
      <c r="C26" s="163"/>
      <c r="D26" s="164"/>
      <c r="E26" s="163"/>
      <c r="F26" s="165" t="str">
        <f aca="false">IF($B$13=$A$70,"Margem bruta da empresa de consultoria","Lucro")</f>
        <v>Lucro</v>
      </c>
      <c r="G26" s="166" t="str">
        <f aca="false">IF($B$13=$A$70,"K3","L")</f>
        <v>L</v>
      </c>
      <c r="H26" s="167" t="n">
        <v>0.0425</v>
      </c>
      <c r="I26" s="6"/>
      <c r="J26" s="1"/>
      <c r="K26" s="168" t="str">
        <f aca="false">IF(OR($B$13=$A$69, $B$13=$A$70,AND($H26 &gt;= $N26,  $H26 &lt;= $P26)),"OK","FORA DO INTERVALO")</f>
        <v>OK</v>
      </c>
      <c r="L26" s="168"/>
      <c r="M26" s="168"/>
      <c r="N26" s="169" t="n">
        <f aca="false">VLOOKUP($B$13,$A$62:$AK$70,IF($B$13=$A$70,32,23),FALSE())</f>
        <v>0.035</v>
      </c>
      <c r="O26" s="169" t="n">
        <f aca="false">VLOOKUP($B$13,$A$62:$AK$70,IF($B$13=$A$70,33,24),FALSE())</f>
        <v>0.0511</v>
      </c>
      <c r="P26" s="169" t="n">
        <f aca="false">VLOOKUP($B$13,$A$62:$AK$70,IF($B$13=$A$70,34,25),FALSE())</f>
        <v>0.0622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customFormat="false" ht="14.25" hidden="false" customHeight="true" outlineLevel="0" collapsed="false">
      <c r="A27" s="161"/>
      <c r="B27" s="162"/>
      <c r="C27" s="163"/>
      <c r="D27" s="164"/>
      <c r="E27" s="163"/>
      <c r="F27" s="165" t="s">
        <v>289</v>
      </c>
      <c r="G27" s="166" t="s">
        <v>290</v>
      </c>
      <c r="H27" s="167" t="n">
        <v>0.0365</v>
      </c>
      <c r="I27" s="6"/>
      <c r="J27" s="1"/>
      <c r="K27" s="168" t="str">
        <f aca="false">IF(OR($B$13=$A$69, $B$13=$A$70,AND($H27 &gt;= $N27,  $H27 &lt;= $P27)),"OK","FORA DO INTERVALO")</f>
        <v>OK</v>
      </c>
      <c r="L27" s="168"/>
      <c r="M27" s="168"/>
      <c r="N27" s="169" t="n">
        <v>0.0365</v>
      </c>
      <c r="O27" s="169" t="n">
        <v>0.0365</v>
      </c>
      <c r="P27" s="169" t="n">
        <v>0.0365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customFormat="false" ht="14.25" hidden="false" customHeight="true" outlineLevel="0" collapsed="false">
      <c r="A28" s="161"/>
      <c r="B28" s="162"/>
      <c r="C28" s="163"/>
      <c r="D28" s="164"/>
      <c r="E28" s="163"/>
      <c r="F28" s="165" t="s">
        <v>291</v>
      </c>
      <c r="G28" s="166" t="s">
        <v>292</v>
      </c>
      <c r="H28" s="170" t="n">
        <f aca="false">IF(AND($B$13&lt;&gt;$A$70,COUNTA($H$22:$H$27)&gt;0),$H$18*$H$19,0)</f>
        <v>0</v>
      </c>
      <c r="I28" s="6"/>
      <c r="J28" s="1"/>
      <c r="K28" s="168" t="str">
        <f aca="false">IF(OR($B$13=$A$69, $B$13=$A$70,AND($H28 &gt;= $N28,  $H28 &lt;= $P28)),"OK","FORA DO INTERVALO")</f>
        <v>OK</v>
      </c>
      <c r="L28" s="168"/>
      <c r="M28" s="168"/>
      <c r="N28" s="171" t="n">
        <v>0</v>
      </c>
      <c r="O28" s="169" t="n">
        <v>0.025</v>
      </c>
      <c r="P28" s="169" t="n">
        <v>0.05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customFormat="false" ht="14.25" hidden="false" customHeight="true" outlineLevel="0" collapsed="false">
      <c r="A29" s="161"/>
      <c r="B29" s="162"/>
      <c r="C29" s="163"/>
      <c r="D29" s="164"/>
      <c r="E29" s="163"/>
      <c r="F29" s="172" t="s">
        <v>293</v>
      </c>
      <c r="G29" s="166" t="s">
        <v>294</v>
      </c>
      <c r="H29" s="170" t="n">
        <v>0</v>
      </c>
      <c r="I29" s="6"/>
      <c r="J29" s="1"/>
      <c r="K29" s="168" t="str">
        <f aca="false">IF(OR($B$13=$A$69, $B$13=$A$70,AND($H29 &gt;= $N29,  $H29 &lt;= $P29)),"OK","FORA DO INTERVALO")</f>
        <v>OK</v>
      </c>
      <c r="L29" s="168"/>
      <c r="M29" s="168"/>
      <c r="N29" s="173" t="n">
        <v>0</v>
      </c>
      <c r="O29" s="174" t="n">
        <v>0.045</v>
      </c>
      <c r="P29" s="174" t="n">
        <v>0.045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customFormat="false" ht="14.25" hidden="false" customHeight="true" outlineLevel="0" collapsed="false">
      <c r="A30" s="175"/>
      <c r="B30" s="176"/>
      <c r="C30" s="176"/>
      <c r="D30" s="176"/>
      <c r="E30" s="177"/>
      <c r="F30" s="176"/>
      <c r="G30" s="176"/>
      <c r="H30" s="176"/>
      <c r="I30" s="178"/>
      <c r="J30" s="1"/>
      <c r="K30" s="179"/>
      <c r="L30" s="179"/>
      <c r="M30" s="179"/>
      <c r="N30" s="180"/>
      <c r="O30" s="180"/>
      <c r="P30" s="180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customFormat="false" ht="14.25" hidden="false" customHeight="true" outlineLevel="0" collapsed="false">
      <c r="A31" s="1"/>
      <c r="B31" s="1"/>
      <c r="C31" s="1"/>
      <c r="D31" s="1"/>
      <c r="E31" s="117"/>
      <c r="F31" s="1"/>
      <c r="G31" s="1"/>
      <c r="H31" s="1"/>
      <c r="I31" s="1"/>
      <c r="J31" s="1"/>
      <c r="K31" s="150" t="s">
        <v>295</v>
      </c>
      <c r="L31" s="1"/>
      <c r="M31" s="1"/>
      <c r="N31" s="181"/>
      <c r="O31" s="181"/>
      <c r="P31" s="18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customFormat="false" ht="14.25" hidden="false" customHeight="true" outlineLevel="0" collapsed="false">
      <c r="A32" s="2"/>
      <c r="B32" s="3"/>
      <c r="C32" s="3"/>
      <c r="D32" s="3"/>
      <c r="E32" s="182"/>
      <c r="F32" s="3"/>
      <c r="G32" s="3"/>
      <c r="H32" s="3"/>
      <c r="I32" s="4"/>
      <c r="J32" s="1"/>
      <c r="K32" s="183" t="n">
        <f aca="false">IF($B$13=$A$70,0,(1+$H$22+$H$23+$H$24)*(1+$H$25)*(1+$H$26)/(1-$H$27-$H$28) - 1)</f>
        <v>0.1433485394</v>
      </c>
      <c r="L32" s="1"/>
      <c r="M32" s="1"/>
      <c r="N32" s="181"/>
      <c r="O32" s="181"/>
      <c r="P32" s="18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customFormat="false" ht="14.25" hidden="false" customHeight="true" outlineLevel="0" collapsed="false">
      <c r="A33" s="5"/>
      <c r="B33" s="150" t="s">
        <v>296</v>
      </c>
      <c r="C33" s="1"/>
      <c r="D33" s="1"/>
      <c r="E33" s="117"/>
      <c r="F33" s="1"/>
      <c r="G33" s="1"/>
      <c r="H33" s="1"/>
      <c r="I33" s="6"/>
      <c r="J33" s="1"/>
      <c r="K33" s="1"/>
      <c r="L33" s="1"/>
      <c r="M33" s="1"/>
      <c r="N33" s="181"/>
      <c r="O33" s="181"/>
      <c r="P33" s="18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customFormat="false" ht="14.25" hidden="false" customHeight="true" outlineLevel="0" collapsed="false">
      <c r="A34" s="5"/>
      <c r="B34" s="184" t="s">
        <v>297</v>
      </c>
      <c r="C34" s="185" t="s">
        <v>298</v>
      </c>
      <c r="D34" s="186" t="str">
        <f aca="false">IF($B$13=$A$70,"(1+K1+K2)(1+K3)","(1+AC+SG+R)(1+DF)(1+L)")</f>
        <v>(1+AC+SG+R)(1+DF)(1+L)</v>
      </c>
      <c r="E34" s="187" t="s">
        <v>299</v>
      </c>
      <c r="F34" s="188" t="s">
        <v>298</v>
      </c>
      <c r="G34" s="189" t="n">
        <f aca="false">IF($B$13=$A$70,0,(1+$H$22+$H$23+$H$24)*(1+$H$25)*(1+$H$26)/(1-$H$27-$H$28-$H$29) - 1)</f>
        <v>0.1433485394</v>
      </c>
      <c r="H34" s="189"/>
      <c r="I34" s="6"/>
      <c r="J34" s="1"/>
      <c r="K34" s="156" t="str">
        <f aca="false">IF(OR($B$13=$A$69, $B$13=$A$70, AND($K$32 &gt;= $N$34,  $K$32 &lt;= $P$34)),"OK","FORA DO INTERVALO")</f>
        <v>OK</v>
      </c>
      <c r="L34" s="156"/>
      <c r="M34" s="156"/>
      <c r="N34" s="169" t="n">
        <f aca="false">VLOOKUP($B$13,$A$62:$AK$70,35,FALSE())</f>
        <v>0.111</v>
      </c>
      <c r="O34" s="169" t="n">
        <f aca="false">VLOOKUP($B$13,$A$62:$AK$70,36,FALSE())</f>
        <v>0.1402</v>
      </c>
      <c r="P34" s="169" t="n">
        <f aca="false">VLOOKUP($B$13,$A$62:$AK$70,37,FALSE())</f>
        <v>0.168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customFormat="false" ht="14.25" hidden="false" customHeight="true" outlineLevel="0" collapsed="false">
      <c r="A35" s="5"/>
      <c r="B35" s="184"/>
      <c r="C35" s="185"/>
      <c r="D35" s="190" t="s">
        <v>300</v>
      </c>
      <c r="E35" s="187"/>
      <c r="F35" s="187"/>
      <c r="G35" s="187"/>
      <c r="H35" s="189"/>
      <c r="I35" s="6"/>
      <c r="J35" s="1"/>
      <c r="K35" s="156"/>
      <c r="L35" s="156"/>
      <c r="M35" s="156"/>
      <c r="N35" s="169"/>
      <c r="O35" s="169"/>
      <c r="P35" s="169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customFormat="false" ht="14.25" hidden="false" customHeight="true" outlineLevel="0" collapsed="false">
      <c r="A36" s="5"/>
      <c r="B36" s="47"/>
      <c r="C36" s="46"/>
      <c r="D36" s="121"/>
      <c r="E36" s="19"/>
      <c r="F36" s="191"/>
      <c r="G36" s="19"/>
      <c r="H36" s="192"/>
      <c r="I36" s="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customFormat="false" ht="14.25" hidden="false" customHeight="true" outlineLevel="0" collapsed="false">
      <c r="A37" s="5"/>
      <c r="B37" s="193" t="str">
        <f aca="false">IF($K$34&lt;&gt;"OK","X","")</f>
        <v/>
      </c>
      <c r="C37" s="194" t="str">
        <f aca="false">IF($K$34&lt;&gt;"OK","ANEXO: Relatório Técnico Circunstanciado justificando a adoção do percentual de cada parcela do BDI.","")</f>
        <v/>
      </c>
      <c r="D37" s="194"/>
      <c r="E37" s="194"/>
      <c r="F37" s="194"/>
      <c r="G37" s="194"/>
      <c r="H37" s="194"/>
      <c r="I37" s="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customFormat="false" ht="14.25" hidden="false" customHeight="true" outlineLevel="0" collapsed="false">
      <c r="A38" s="5"/>
      <c r="B38" s="1"/>
      <c r="C38" s="1"/>
      <c r="D38" s="1"/>
      <c r="E38" s="118"/>
      <c r="F38" s="195"/>
      <c r="G38" s="121"/>
      <c r="H38" s="119"/>
      <c r="I38" s="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customFormat="false" ht="14.25" hidden="false" customHeight="true" outlineLevel="0" collapsed="false">
      <c r="A39" s="5"/>
      <c r="B39" s="150" t="s">
        <v>301</v>
      </c>
      <c r="C39" s="1"/>
      <c r="D39" s="1"/>
      <c r="E39" s="118"/>
      <c r="F39" s="195"/>
      <c r="G39" s="121"/>
      <c r="H39" s="119"/>
      <c r="I39" s="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customFormat="false" ht="14.25" hidden="false" customHeight="true" outlineLevel="0" collapsed="false">
      <c r="A40" s="5"/>
      <c r="B40" s="206"/>
      <c r="C40" s="206"/>
      <c r="D40" s="206"/>
      <c r="E40" s="206"/>
      <c r="F40" s="206"/>
      <c r="G40" s="206"/>
      <c r="H40" s="206"/>
      <c r="I40" s="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customFormat="false" ht="14.25" hidden="false" customHeight="true" outlineLevel="0" collapsed="false">
      <c r="A41" s="5"/>
      <c r="B41" s="206"/>
      <c r="C41" s="206"/>
      <c r="D41" s="206"/>
      <c r="E41" s="206"/>
      <c r="F41" s="206"/>
      <c r="G41" s="206"/>
      <c r="H41" s="206"/>
      <c r="I41" s="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customFormat="false" ht="14.25" hidden="false" customHeight="true" outlineLevel="0" collapsed="false">
      <c r="A42" s="5"/>
      <c r="B42" s="206"/>
      <c r="C42" s="206"/>
      <c r="D42" s="206"/>
      <c r="E42" s="206"/>
      <c r="F42" s="206"/>
      <c r="G42" s="206"/>
      <c r="H42" s="206"/>
      <c r="I42" s="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customFormat="false" ht="14.25" hidden="false" customHeight="true" outlineLevel="0" collapsed="false">
      <c r="A43" s="5"/>
      <c r="B43" s="206"/>
      <c r="C43" s="206"/>
      <c r="D43" s="206"/>
      <c r="E43" s="206"/>
      <c r="F43" s="206"/>
      <c r="G43" s="206"/>
      <c r="H43" s="206"/>
      <c r="I43" s="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customFormat="false" ht="14.25" hidden="false" customHeight="true" outlineLevel="0" collapsed="false">
      <c r="A44" s="5"/>
      <c r="B44" s="206"/>
      <c r="C44" s="206"/>
      <c r="D44" s="206"/>
      <c r="E44" s="206"/>
      <c r="F44" s="206"/>
      <c r="G44" s="206"/>
      <c r="H44" s="206"/>
      <c r="I44" s="6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customFormat="false" ht="14.25" hidden="false" customHeight="true" outlineLevel="0" collapsed="false">
      <c r="A45" s="25"/>
      <c r="B45" s="26"/>
      <c r="C45" s="26"/>
      <c r="D45" s="26"/>
      <c r="E45" s="197"/>
      <c r="F45" s="26"/>
      <c r="G45" s="26"/>
      <c r="H45" s="26"/>
      <c r="I45" s="2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customFormat="false" ht="14.25" hidden="false" customHeight="true" outlineLevel="0" collapsed="false">
      <c r="A46" s="1"/>
      <c r="B46" s="1" t="s">
        <v>302</v>
      </c>
      <c r="C46" s="1"/>
      <c r="D46" s="1"/>
      <c r="E46" s="11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customFormat="false" ht="14.25" hidden="false" customHeight="true" outlineLevel="0" collapsed="false">
      <c r="A47" s="1"/>
      <c r="B47" s="1"/>
      <c r="C47" s="1"/>
      <c r="D47" s="1"/>
      <c r="E47" s="11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customFormat="false" ht="14.25" hidden="false" customHeight="true" outlineLevel="0" collapsed="false">
      <c r="A48" s="198"/>
      <c r="B48" s="199" t="str">
        <f aca="false">CONCATENATE(FOLHA_ROSTO!$B$17, ", ", TEXT(FOLHA_ROSTO!$D$46, "NNNND ""de"" MMMM ""de"" AAAA"))</f>
        <v>LARANJEIRAS DO SUL – PR, segunda-feira, 18 de setembro de 2023</v>
      </c>
      <c r="C48" s="199"/>
      <c r="D48" s="199"/>
      <c r="E48" s="199"/>
      <c r="F48" s="199"/>
      <c r="G48" s="199"/>
      <c r="H48" s="199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customFormat="false" ht="14.25" hidden="false" customHeight="true" outlineLevel="0" collapsed="false">
      <c r="A49" s="200"/>
      <c r="B49" s="1"/>
      <c r="C49" s="201"/>
      <c r="D49" s="1"/>
      <c r="E49" s="11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customFormat="false" ht="14.25" hidden="false" customHeight="true" outlineLevel="0" collapsed="false">
      <c r="A50" s="1"/>
      <c r="B50" s="1"/>
      <c r="C50" s="1"/>
      <c r="D50" s="1"/>
      <c r="E50" s="11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customFormat="false" ht="14.25" hidden="false" customHeight="true" outlineLevel="0" collapsed="false">
      <c r="A51" s="1"/>
      <c r="B51" s="1"/>
      <c r="C51" s="1"/>
      <c r="D51" s="1"/>
      <c r="E51" s="11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customFormat="false" ht="14.25" hidden="false" customHeight="true" outlineLevel="0" collapsed="false">
      <c r="A52" s="1"/>
      <c r="B52" s="1"/>
      <c r="C52" s="1"/>
      <c r="D52" s="1"/>
      <c r="E52" s="11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customFormat="false" ht="14.25" hidden="false" customHeight="true" outlineLevel="0" collapsed="false">
      <c r="A53" s="1"/>
      <c r="B53" s="1"/>
      <c r="C53" s="1"/>
      <c r="D53" s="202" t="s">
        <v>303</v>
      </c>
      <c r="E53" s="202"/>
      <c r="F53" s="20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customFormat="false" ht="14.25" hidden="false" customHeight="true" outlineLevel="0" collapsed="false">
      <c r="A54" s="1"/>
      <c r="B54" s="203"/>
      <c r="C54" s="203"/>
      <c r="D54" s="204" t="str">
        <f aca="false">FOLHA_ROSTO!$C$51</f>
        <v>Wellington Tischer</v>
      </c>
      <c r="E54" s="204"/>
      <c r="F54" s="204"/>
      <c r="G54" s="203"/>
      <c r="H54" s="20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customFormat="false" ht="14.25" hidden="false" customHeight="true" outlineLevel="0" collapsed="false">
      <c r="A55" s="1"/>
      <c r="B55" s="1"/>
      <c r="C55" s="1"/>
      <c r="D55" s="205" t="str">
        <f aca="false">FOLHA_ROSTO!$C$52</f>
        <v>CAU/SC</v>
      </c>
      <c r="E55" s="205"/>
      <c r="F55" s="205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customFormat="false" ht="14.25" hidden="false" customHeight="true" outlineLevel="0" collapsed="false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customFormat="false" ht="14.25" hidden="false" customHeight="true" outlineLevel="0" collapsed="false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customFormat="false" ht="14.25" hidden="false" customHeight="true" outlineLevel="0" collapsed="false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customFormat="false" ht="14.25" hidden="false" customHeight="true" outlineLevel="0" collapsed="false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customFormat="false" ht="14.25" hidden="true" customHeight="true" outlineLevel="0" collapsed="false">
      <c r="A60" s="1"/>
      <c r="B60" s="1"/>
      <c r="C60" s="1"/>
      <c r="D60" s="1"/>
      <c r="E60" s="1"/>
      <c r="F60" s="1"/>
      <c r="G60" s="1"/>
      <c r="H60" s="1"/>
      <c r="I60" s="1"/>
      <c r="J60" s="1"/>
      <c r="K60" s="205" t="s">
        <v>304</v>
      </c>
      <c r="L60" s="205"/>
      <c r="M60" s="205"/>
      <c r="N60" s="205" t="s">
        <v>305</v>
      </c>
      <c r="O60" s="205"/>
      <c r="P60" s="205"/>
      <c r="Q60" s="205" t="s">
        <v>306</v>
      </c>
      <c r="R60" s="205"/>
      <c r="S60" s="205"/>
      <c r="T60" s="205" t="s">
        <v>307</v>
      </c>
      <c r="U60" s="205"/>
      <c r="V60" s="205"/>
      <c r="W60" s="205" t="s">
        <v>308</v>
      </c>
      <c r="X60" s="205"/>
      <c r="Y60" s="205"/>
      <c r="Z60" s="205" t="s">
        <v>309</v>
      </c>
      <c r="AA60" s="205"/>
      <c r="AB60" s="205"/>
      <c r="AC60" s="205" t="s">
        <v>310</v>
      </c>
      <c r="AD60" s="205"/>
      <c r="AE60" s="205"/>
      <c r="AF60" s="205" t="s">
        <v>311</v>
      </c>
      <c r="AG60" s="205"/>
      <c r="AH60" s="205"/>
      <c r="AI60" s="205" t="s">
        <v>44</v>
      </c>
      <c r="AJ60" s="205"/>
      <c r="AK60" s="205"/>
    </row>
    <row r="61" customFormat="false" ht="14.25" hidden="true" customHeight="true" outlineLevel="0" collapsed="false">
      <c r="A61" s="1"/>
      <c r="B61" s="1"/>
      <c r="C61" s="1"/>
      <c r="D61" s="1"/>
      <c r="E61" s="1"/>
      <c r="F61" s="1"/>
      <c r="G61" s="1"/>
      <c r="H61" s="1"/>
      <c r="I61" s="1"/>
      <c r="J61" s="1"/>
      <c r="K61" s="1" t="s">
        <v>283</v>
      </c>
      <c r="L61" s="1" t="s">
        <v>284</v>
      </c>
      <c r="M61" s="1" t="s">
        <v>285</v>
      </c>
      <c r="N61" s="1" t="s">
        <v>283</v>
      </c>
      <c r="O61" s="1" t="s">
        <v>284</v>
      </c>
      <c r="P61" s="1" t="s">
        <v>285</v>
      </c>
      <c r="Q61" s="1" t="s">
        <v>283</v>
      </c>
      <c r="R61" s="1" t="s">
        <v>284</v>
      </c>
      <c r="S61" s="1" t="s">
        <v>285</v>
      </c>
      <c r="T61" s="1" t="s">
        <v>283</v>
      </c>
      <c r="U61" s="1" t="s">
        <v>284</v>
      </c>
      <c r="V61" s="1" t="s">
        <v>285</v>
      </c>
      <c r="W61" s="1" t="s">
        <v>283</v>
      </c>
      <c r="X61" s="1" t="s">
        <v>284</v>
      </c>
      <c r="Y61" s="1" t="s">
        <v>285</v>
      </c>
      <c r="Z61" s="1" t="s">
        <v>283</v>
      </c>
      <c r="AA61" s="1" t="s">
        <v>284</v>
      </c>
      <c r="AB61" s="1" t="s">
        <v>285</v>
      </c>
      <c r="AC61" s="1" t="s">
        <v>283</v>
      </c>
      <c r="AD61" s="1" t="s">
        <v>284</v>
      </c>
      <c r="AE61" s="1" t="s">
        <v>285</v>
      </c>
      <c r="AF61" s="1" t="s">
        <v>283</v>
      </c>
      <c r="AG61" s="1" t="s">
        <v>284</v>
      </c>
      <c r="AH61" s="1" t="s">
        <v>285</v>
      </c>
      <c r="AI61" s="1" t="s">
        <v>283</v>
      </c>
      <c r="AJ61" s="1" t="s">
        <v>284</v>
      </c>
      <c r="AK61" s="1" t="s">
        <v>285</v>
      </c>
    </row>
    <row r="62" customFormat="false" ht="14.25" hidden="true" customHeight="true" outlineLevel="0" collapsed="false">
      <c r="A62" s="1" t="s">
        <v>312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customFormat="false" ht="14.25" hidden="true" customHeight="true" outlineLevel="0" collapsed="false">
      <c r="A63" s="1" t="s">
        <v>277</v>
      </c>
      <c r="B63" s="1"/>
      <c r="C63" s="1"/>
      <c r="D63" s="1"/>
      <c r="E63" s="1"/>
      <c r="F63" s="1"/>
      <c r="G63" s="1"/>
      <c r="H63" s="1"/>
      <c r="I63" s="1"/>
      <c r="J63" s="1"/>
      <c r="K63" s="127" t="n">
        <v>0.03</v>
      </c>
      <c r="L63" s="127" t="n">
        <v>0.04</v>
      </c>
      <c r="M63" s="127" t="n">
        <v>0.055</v>
      </c>
      <c r="N63" s="127" t="n">
        <v>0.008</v>
      </c>
      <c r="O63" s="127" t="n">
        <v>0.008</v>
      </c>
      <c r="P63" s="127" t="n">
        <v>0.01</v>
      </c>
      <c r="Q63" s="127" t="n">
        <v>0.0097</v>
      </c>
      <c r="R63" s="127" t="n">
        <v>0.0127</v>
      </c>
      <c r="S63" s="127" t="n">
        <v>0.0127</v>
      </c>
      <c r="T63" s="127" t="n">
        <v>0.0059</v>
      </c>
      <c r="U63" s="127" t="n">
        <v>0.0123</v>
      </c>
      <c r="V63" s="127" t="n">
        <v>0.0139</v>
      </c>
      <c r="W63" s="127" t="n">
        <v>0.0616</v>
      </c>
      <c r="X63" s="127" t="n">
        <v>0.074</v>
      </c>
      <c r="Y63" s="127" t="n">
        <v>0.0896</v>
      </c>
      <c r="Z63" s="127" t="n">
        <v>0</v>
      </c>
      <c r="AA63" s="127" t="n">
        <v>0</v>
      </c>
      <c r="AB63" s="127" t="n">
        <v>0</v>
      </c>
      <c r="AC63" s="127" t="n">
        <v>0</v>
      </c>
      <c r="AD63" s="127" t="n">
        <v>0</v>
      </c>
      <c r="AE63" s="127" t="n">
        <v>0</v>
      </c>
      <c r="AF63" s="127" t="n">
        <v>0</v>
      </c>
      <c r="AG63" s="127" t="n">
        <v>0</v>
      </c>
      <c r="AH63" s="127" t="n">
        <v>0</v>
      </c>
      <c r="AI63" s="127" t="n">
        <v>0.2034</v>
      </c>
      <c r="AJ63" s="127" t="n">
        <v>0.2212</v>
      </c>
      <c r="AK63" s="127" t="n">
        <v>0.25</v>
      </c>
    </row>
    <row r="64" customFormat="false" ht="14.25" hidden="true" customHeight="true" outlineLevel="0" collapsed="false">
      <c r="A64" s="1" t="s">
        <v>313</v>
      </c>
      <c r="B64" s="1"/>
      <c r="C64" s="1"/>
      <c r="D64" s="1"/>
      <c r="E64" s="1"/>
      <c r="F64" s="1"/>
      <c r="G64" s="1"/>
      <c r="H64" s="1"/>
      <c r="I64" s="1"/>
      <c r="J64" s="1"/>
      <c r="K64" s="127" t="n">
        <v>0.038</v>
      </c>
      <c r="L64" s="127" t="n">
        <v>0.0401</v>
      </c>
      <c r="M64" s="127" t="n">
        <v>0.0467</v>
      </c>
      <c r="N64" s="127" t="n">
        <v>0.0032</v>
      </c>
      <c r="O64" s="127" t="n">
        <v>0.004</v>
      </c>
      <c r="P64" s="127" t="n">
        <v>0.0074</v>
      </c>
      <c r="Q64" s="127" t="n">
        <v>0.005</v>
      </c>
      <c r="R64" s="127" t="n">
        <v>0.0056</v>
      </c>
      <c r="S64" s="127" t="n">
        <v>0.0097</v>
      </c>
      <c r="T64" s="127" t="n">
        <v>0.0102</v>
      </c>
      <c r="U64" s="127" t="n">
        <v>0.0111</v>
      </c>
      <c r="V64" s="127" t="n">
        <v>0.0121</v>
      </c>
      <c r="W64" s="127" t="n">
        <v>0.0664</v>
      </c>
      <c r="X64" s="127" t="n">
        <v>0.073</v>
      </c>
      <c r="Y64" s="127" t="n">
        <v>0.0869</v>
      </c>
      <c r="Z64" s="127" t="n">
        <v>0</v>
      </c>
      <c r="AA64" s="127" t="n">
        <v>0</v>
      </c>
      <c r="AB64" s="127" t="n">
        <v>0</v>
      </c>
      <c r="AC64" s="127" t="n">
        <v>0</v>
      </c>
      <c r="AD64" s="127" t="n">
        <v>0</v>
      </c>
      <c r="AE64" s="127" t="n">
        <v>0</v>
      </c>
      <c r="AF64" s="127" t="n">
        <v>0</v>
      </c>
      <c r="AG64" s="127" t="n">
        <v>0</v>
      </c>
      <c r="AH64" s="127" t="n">
        <v>0</v>
      </c>
      <c r="AI64" s="127" t="n">
        <v>0.196</v>
      </c>
      <c r="AJ64" s="127" t="n">
        <v>0.2097</v>
      </c>
      <c r="AK64" s="127" t="n">
        <v>0.2423</v>
      </c>
    </row>
    <row r="65" customFormat="false" ht="14.25" hidden="true" customHeight="true" outlineLevel="0" collapsed="false">
      <c r="A65" s="1" t="s">
        <v>314</v>
      </c>
      <c r="B65" s="1"/>
      <c r="C65" s="1"/>
      <c r="D65" s="1"/>
      <c r="E65" s="1"/>
      <c r="F65" s="1"/>
      <c r="G65" s="1"/>
      <c r="H65" s="1"/>
      <c r="I65" s="1"/>
      <c r="J65" s="117"/>
      <c r="K65" s="127" t="n">
        <v>0.0343</v>
      </c>
      <c r="L65" s="127" t="n">
        <v>0.0493</v>
      </c>
      <c r="M65" s="127" t="n">
        <v>0.0671</v>
      </c>
      <c r="N65" s="127" t="n">
        <v>0.0028</v>
      </c>
      <c r="O65" s="127" t="n">
        <v>0.0049</v>
      </c>
      <c r="P65" s="127" t="n">
        <v>0.0075</v>
      </c>
      <c r="Q65" s="127" t="n">
        <v>0.01</v>
      </c>
      <c r="R65" s="127" t="n">
        <v>0.0139</v>
      </c>
      <c r="S65" s="127" t="n">
        <v>0.0174</v>
      </c>
      <c r="T65" s="127" t="n">
        <v>0.0094</v>
      </c>
      <c r="U65" s="127" t="n">
        <v>0.0099</v>
      </c>
      <c r="V65" s="127" t="n">
        <v>0.0117</v>
      </c>
      <c r="W65" s="127" t="n">
        <v>0.0674</v>
      </c>
      <c r="X65" s="127" t="n">
        <v>0.0804</v>
      </c>
      <c r="Y65" s="127" t="n">
        <v>0.094</v>
      </c>
      <c r="Z65" s="127" t="n">
        <v>0</v>
      </c>
      <c r="AA65" s="127" t="n">
        <v>0</v>
      </c>
      <c r="AB65" s="127" t="n">
        <v>0</v>
      </c>
      <c r="AC65" s="127" t="n">
        <v>0</v>
      </c>
      <c r="AD65" s="127" t="n">
        <v>0</v>
      </c>
      <c r="AE65" s="127" t="n">
        <v>0</v>
      </c>
      <c r="AF65" s="127" t="n">
        <v>0</v>
      </c>
      <c r="AG65" s="127" t="n">
        <v>0</v>
      </c>
      <c r="AH65" s="127" t="n">
        <v>0</v>
      </c>
      <c r="AI65" s="127" t="n">
        <v>0.2076</v>
      </c>
      <c r="AJ65" s="127" t="n">
        <v>0.2418</v>
      </c>
      <c r="AK65" s="127" t="n">
        <v>0.2644</v>
      </c>
    </row>
    <row r="66" customFormat="false" ht="14.25" hidden="true" customHeight="true" outlineLevel="0" collapsed="false">
      <c r="A66" s="1" t="s">
        <v>315</v>
      </c>
      <c r="B66" s="1"/>
      <c r="C66" s="1"/>
      <c r="D66" s="1"/>
      <c r="E66" s="1"/>
      <c r="F66" s="1"/>
      <c r="G66" s="1"/>
      <c r="H66" s="1"/>
      <c r="I66" s="1"/>
      <c r="J66" s="117"/>
      <c r="K66" s="127" t="n">
        <v>0.0529</v>
      </c>
      <c r="L66" s="127" t="n">
        <v>0.0592</v>
      </c>
      <c r="M66" s="127" t="n">
        <v>0.0793</v>
      </c>
      <c r="N66" s="127" t="n">
        <v>0.0025</v>
      </c>
      <c r="O66" s="127" t="n">
        <v>0.0051</v>
      </c>
      <c r="P66" s="127" t="n">
        <v>0.0056</v>
      </c>
      <c r="Q66" s="127" t="n">
        <v>0.01</v>
      </c>
      <c r="R66" s="127" t="n">
        <v>0.0148</v>
      </c>
      <c r="S66" s="127" t="n">
        <v>0.0197</v>
      </c>
      <c r="T66" s="127" t="n">
        <v>0.0101</v>
      </c>
      <c r="U66" s="127" t="n">
        <v>0.0107</v>
      </c>
      <c r="V66" s="127" t="n">
        <v>0.0111</v>
      </c>
      <c r="W66" s="127" t="n">
        <v>0.08</v>
      </c>
      <c r="X66" s="127" t="n">
        <v>0.0831</v>
      </c>
      <c r="Y66" s="127" t="n">
        <v>0.0951</v>
      </c>
      <c r="Z66" s="127" t="n">
        <v>0</v>
      </c>
      <c r="AA66" s="127" t="n">
        <v>0</v>
      </c>
      <c r="AB66" s="127" t="n">
        <v>0</v>
      </c>
      <c r="AC66" s="127" t="n">
        <v>0</v>
      </c>
      <c r="AD66" s="127" t="n">
        <v>0</v>
      </c>
      <c r="AE66" s="127" t="n">
        <v>0</v>
      </c>
      <c r="AF66" s="127" t="n">
        <v>0</v>
      </c>
      <c r="AG66" s="127" t="n">
        <v>0</v>
      </c>
      <c r="AH66" s="127" t="n">
        <v>0</v>
      </c>
      <c r="AI66" s="127" t="n">
        <v>0.24</v>
      </c>
      <c r="AJ66" s="127" t="n">
        <v>0.2584</v>
      </c>
      <c r="AK66" s="127" t="n">
        <v>0.2786</v>
      </c>
    </row>
    <row r="67" customFormat="false" ht="14.25" hidden="true" customHeight="true" outlineLevel="0" collapsed="false">
      <c r="A67" s="1" t="s">
        <v>316</v>
      </c>
      <c r="B67" s="1"/>
      <c r="C67" s="1"/>
      <c r="D67" s="1"/>
      <c r="E67" s="1"/>
      <c r="F67" s="1"/>
      <c r="G67" s="1"/>
      <c r="H67" s="1"/>
      <c r="I67" s="1"/>
      <c r="J67" s="117"/>
      <c r="K67" s="127" t="n">
        <v>0.04</v>
      </c>
      <c r="L67" s="127" t="n">
        <v>0.0552</v>
      </c>
      <c r="M67" s="127" t="n">
        <v>0.0785</v>
      </c>
      <c r="N67" s="127" t="n">
        <v>0.0081</v>
      </c>
      <c r="O67" s="127" t="n">
        <v>0.0122</v>
      </c>
      <c r="P67" s="127" t="n">
        <v>0.0199</v>
      </c>
      <c r="Q67" s="127" t="n">
        <v>0.0146</v>
      </c>
      <c r="R67" s="127" t="n">
        <v>0.0232</v>
      </c>
      <c r="S67" s="127" t="n">
        <v>0.0316</v>
      </c>
      <c r="T67" s="127" t="n">
        <v>0.0094</v>
      </c>
      <c r="U67" s="127" t="n">
        <v>0.0102</v>
      </c>
      <c r="V67" s="127" t="n">
        <v>0.0133</v>
      </c>
      <c r="W67" s="127" t="n">
        <v>0.0714</v>
      </c>
      <c r="X67" s="127" t="n">
        <v>0.084</v>
      </c>
      <c r="Y67" s="127" t="n">
        <v>0.1043</v>
      </c>
      <c r="Z67" s="127" t="n">
        <v>0</v>
      </c>
      <c r="AA67" s="127" t="n">
        <v>0</v>
      </c>
      <c r="AB67" s="127" t="n">
        <v>0</v>
      </c>
      <c r="AC67" s="127" t="n">
        <v>0</v>
      </c>
      <c r="AD67" s="127" t="n">
        <v>0</v>
      </c>
      <c r="AE67" s="127" t="n">
        <v>0</v>
      </c>
      <c r="AF67" s="127" t="n">
        <v>0</v>
      </c>
      <c r="AG67" s="127" t="n">
        <v>0</v>
      </c>
      <c r="AH67" s="127" t="n">
        <v>0</v>
      </c>
      <c r="AI67" s="127" t="n">
        <v>0.228</v>
      </c>
      <c r="AJ67" s="127" t="n">
        <v>0.2748</v>
      </c>
      <c r="AK67" s="127" t="n">
        <v>0.3095</v>
      </c>
    </row>
    <row r="68" customFormat="false" ht="14.25" hidden="true" customHeight="true" outlineLevel="0" collapsed="false">
      <c r="A68" s="1" t="s">
        <v>317</v>
      </c>
      <c r="B68" s="1"/>
      <c r="C68" s="1"/>
      <c r="D68" s="1"/>
      <c r="E68" s="1"/>
      <c r="F68" s="1"/>
      <c r="G68" s="1"/>
      <c r="H68" s="1"/>
      <c r="I68" s="1"/>
      <c r="J68" s="117"/>
      <c r="K68" s="127" t="n">
        <v>0.015</v>
      </c>
      <c r="L68" s="127" t="n">
        <v>0.0345</v>
      </c>
      <c r="M68" s="127" t="n">
        <v>0.0449</v>
      </c>
      <c r="N68" s="127" t="n">
        <v>0.003</v>
      </c>
      <c r="O68" s="127" t="n">
        <v>0.0048</v>
      </c>
      <c r="P68" s="127" t="n">
        <v>0.0082</v>
      </c>
      <c r="Q68" s="127" t="n">
        <v>0.0056</v>
      </c>
      <c r="R68" s="127" t="n">
        <v>0.0085</v>
      </c>
      <c r="S68" s="127" t="n">
        <v>0.0089</v>
      </c>
      <c r="T68" s="127" t="n">
        <v>0.0085</v>
      </c>
      <c r="U68" s="127" t="n">
        <v>0.0085</v>
      </c>
      <c r="V68" s="127" t="n">
        <v>0.0111</v>
      </c>
      <c r="W68" s="127" t="n">
        <v>0.035</v>
      </c>
      <c r="X68" s="127" t="n">
        <v>0.0511</v>
      </c>
      <c r="Y68" s="127" t="n">
        <v>0.0622</v>
      </c>
      <c r="Z68" s="127" t="n">
        <v>0</v>
      </c>
      <c r="AA68" s="127" t="n">
        <v>0</v>
      </c>
      <c r="AB68" s="127" t="n">
        <v>0</v>
      </c>
      <c r="AC68" s="127" t="n">
        <v>0</v>
      </c>
      <c r="AD68" s="127" t="n">
        <v>0</v>
      </c>
      <c r="AE68" s="127" t="n">
        <v>0</v>
      </c>
      <c r="AF68" s="127" t="n">
        <v>0</v>
      </c>
      <c r="AG68" s="127" t="n">
        <v>0</v>
      </c>
      <c r="AH68" s="127" t="n">
        <v>0</v>
      </c>
      <c r="AI68" s="127" t="n">
        <v>0.111</v>
      </c>
      <c r="AJ68" s="127" t="n">
        <v>0.1402</v>
      </c>
      <c r="AK68" s="127" t="n">
        <v>0.168</v>
      </c>
    </row>
    <row r="69" customFormat="false" ht="14.25" hidden="true" customHeight="true" outlineLevel="0" collapsed="false">
      <c r="A69" s="1" t="s">
        <v>318</v>
      </c>
      <c r="B69" s="1"/>
      <c r="C69" s="1"/>
      <c r="D69" s="1"/>
      <c r="E69" s="1"/>
      <c r="F69" s="1"/>
      <c r="G69" s="1"/>
      <c r="H69" s="1"/>
      <c r="I69" s="1"/>
      <c r="J69" s="117"/>
      <c r="K69" s="127" t="n">
        <v>0</v>
      </c>
      <c r="L69" s="127" t="n">
        <v>0</v>
      </c>
      <c r="M69" s="127" t="n">
        <v>0</v>
      </c>
      <c r="N69" s="127" t="n">
        <v>0</v>
      </c>
      <c r="O69" s="127" t="n">
        <v>0</v>
      </c>
      <c r="P69" s="127" t="n">
        <v>0</v>
      </c>
      <c r="Q69" s="127" t="n">
        <v>0</v>
      </c>
      <c r="R69" s="127" t="n">
        <v>0</v>
      </c>
      <c r="S69" s="127" t="n">
        <v>0</v>
      </c>
      <c r="T69" s="127" t="n">
        <v>0</v>
      </c>
      <c r="U69" s="127" t="n">
        <v>0</v>
      </c>
      <c r="V69" s="127" t="n">
        <v>0</v>
      </c>
      <c r="W69" s="127" t="n">
        <v>0</v>
      </c>
      <c r="X69" s="127" t="n">
        <v>0</v>
      </c>
      <c r="Y69" s="127" t="n">
        <v>0</v>
      </c>
      <c r="Z69" s="127" t="n">
        <v>0</v>
      </c>
      <c r="AA69" s="127" t="n">
        <v>0</v>
      </c>
      <c r="AB69" s="127" t="n">
        <v>0</v>
      </c>
      <c r="AC69" s="127" t="n">
        <v>0</v>
      </c>
      <c r="AD69" s="127" t="n">
        <v>0</v>
      </c>
      <c r="AE69" s="127" t="n">
        <v>0</v>
      </c>
      <c r="AF69" s="127" t="n">
        <v>0</v>
      </c>
      <c r="AG69" s="127" t="n">
        <v>0</v>
      </c>
      <c r="AH69" s="127" t="n">
        <v>0</v>
      </c>
      <c r="AI69" s="127" t="n">
        <v>0</v>
      </c>
      <c r="AJ69" s="127" t="n">
        <v>0</v>
      </c>
      <c r="AK69" s="127" t="n">
        <v>0</v>
      </c>
    </row>
    <row r="70" customFormat="false" ht="14.25" hidden="true" customHeight="true" outlineLevel="0" collapsed="false">
      <c r="A70" s="1" t="s">
        <v>319</v>
      </c>
      <c r="B70" s="1"/>
      <c r="C70" s="1"/>
      <c r="D70" s="1"/>
      <c r="E70" s="1"/>
      <c r="F70" s="1"/>
      <c r="G70" s="1"/>
      <c r="H70" s="1"/>
      <c r="I70" s="1"/>
      <c r="J70" s="127"/>
      <c r="K70" s="127" t="n">
        <v>0</v>
      </c>
      <c r="L70" s="127" t="n">
        <v>0</v>
      </c>
      <c r="M70" s="127" t="n">
        <v>0</v>
      </c>
      <c r="N70" s="127" t="n">
        <v>0</v>
      </c>
      <c r="O70" s="127" t="n">
        <v>0</v>
      </c>
      <c r="P70" s="127" t="n">
        <v>0</v>
      </c>
      <c r="Q70" s="127" t="n">
        <v>0</v>
      </c>
      <c r="R70" s="127" t="n">
        <v>0</v>
      </c>
      <c r="S70" s="127" t="n">
        <v>0</v>
      </c>
      <c r="T70" s="127" t="n">
        <v>0</v>
      </c>
      <c r="U70" s="127" t="n">
        <v>0</v>
      </c>
      <c r="V70" s="127" t="n">
        <v>0</v>
      </c>
      <c r="W70" s="127" t="n">
        <v>0</v>
      </c>
      <c r="X70" s="127" t="n">
        <v>0</v>
      </c>
      <c r="Y70" s="127" t="n">
        <v>0</v>
      </c>
      <c r="Z70" s="127" t="n">
        <v>0</v>
      </c>
      <c r="AA70" s="127" t="n">
        <v>0</v>
      </c>
      <c r="AB70" s="127" t="n">
        <v>0</v>
      </c>
      <c r="AC70" s="127" t="n">
        <v>0</v>
      </c>
      <c r="AD70" s="127" t="n">
        <v>0.2</v>
      </c>
      <c r="AE70" s="127" t="n">
        <v>0</v>
      </c>
      <c r="AF70" s="127" t="n">
        <v>0</v>
      </c>
      <c r="AG70" s="127" t="n">
        <v>0.12</v>
      </c>
      <c r="AH70" s="127" t="n">
        <v>0</v>
      </c>
      <c r="AI70" s="127" t="n">
        <v>0</v>
      </c>
      <c r="AJ70" s="127" t="n">
        <v>0</v>
      </c>
      <c r="AK70" s="127" t="n">
        <v>0</v>
      </c>
    </row>
    <row r="71" customFormat="false" ht="14.25" hidden="true" customHeight="true" outlineLevel="0" collapsed="false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customFormat="false" ht="14.25" hidden="false" customHeight="true" outlineLevel="0" collapsed="false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customFormat="false" ht="14.25" hidden="false" customHeight="true" outlineLevel="0" collapsed="false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customFormat="false" ht="14.25" hidden="false" customHeight="true" outlineLevel="0" collapsed="false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customFormat="false" ht="14.25" hidden="false" customHeight="true" outlineLevel="0" collapsed="false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customFormat="false" ht="14.25" hidden="false" customHeight="true" outlineLevel="0" collapsed="false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customFormat="false" ht="14.25" hidden="false" customHeight="true" outlineLevel="0" collapsed="false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customFormat="false" ht="14.25" hidden="false" customHeight="true" outlineLevel="0" collapsed="false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customFormat="false" ht="14.25" hidden="false" customHeight="true" outlineLevel="0" collapsed="false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customFormat="false" ht="14.25" hidden="false" customHeight="true" outlineLevel="0" collapsed="false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customFormat="false" ht="14.25" hidden="false" customHeight="true" outlineLevel="0" collapsed="false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customFormat="false" ht="14.25" hidden="false" customHeight="true" outlineLevel="0" collapsed="false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customFormat="false" ht="14.25" hidden="false" customHeight="true" outlineLevel="0" collapsed="false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customFormat="false" ht="14.25" hidden="false" customHeight="true" outlineLevel="0" collapsed="false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customFormat="false" ht="14.25" hidden="false" customHeight="true" outlineLevel="0" collapsed="false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customFormat="false" ht="14.25" hidden="false" customHeight="true" outlineLevel="0" collapsed="false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customFormat="false" ht="14.25" hidden="false" customHeight="true" outlineLevel="0" collapsed="false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customFormat="false" ht="14.25" hidden="false" customHeight="true" outlineLevel="0" collapsed="false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customFormat="false" ht="14.25" hidden="false" customHeight="true" outlineLevel="0" collapsed="false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customFormat="false" ht="14.25" hidden="false" customHeight="true" outlineLevel="0" collapsed="false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customFormat="false" ht="14.25" hidden="false" customHeight="true" outlineLevel="0" collapsed="false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customFormat="false" ht="14.25" hidden="false" customHeight="true" outlineLevel="0" collapsed="false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customFormat="false" ht="14.25" hidden="false" customHeight="true" outlineLevel="0" collapsed="false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customFormat="false" ht="14.25" hidden="false" customHeight="true" outlineLevel="0" collapsed="false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customFormat="false" ht="14.25" hidden="false" customHeight="true" outlineLevel="0" collapsed="false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customFormat="false" ht="14.25" hidden="false" customHeight="true" outlineLevel="0" collapsed="false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customFormat="false" ht="14.25" hidden="false" customHeight="true" outlineLevel="0" collapsed="false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customFormat="false" ht="14.25" hidden="false" customHeight="true" outlineLevel="0" collapsed="false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customFormat="false" ht="14.25" hidden="false" customHeight="true" outlineLevel="0" collapsed="false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customFormat="false" ht="14.25" hidden="false" customHeight="true" outlineLevel="0" collapsed="false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customFormat="false" ht="14.25" hidden="false" customHeight="true" outlineLevel="0" collapsed="false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customFormat="false" ht="14.25" hidden="false" customHeight="true" outlineLevel="0" collapsed="false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customFormat="false" ht="14.25" hidden="false" customHeight="true" outlineLevel="0" collapsed="false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customFormat="false" ht="14.25" hidden="false" customHeight="true" outlineLevel="0" collapsed="false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customFormat="false" ht="14.25" hidden="false" customHeight="true" outlineLevel="0" collapsed="false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customFormat="false" ht="14.25" hidden="false" customHeight="true" outlineLevel="0" collapsed="false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customFormat="false" ht="14.25" hidden="false" customHeight="true" outlineLevel="0" collapsed="false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customFormat="false" ht="14.25" hidden="false" customHeight="true" outlineLevel="0" collapsed="false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customFormat="false" ht="14.25" hidden="false" customHeight="true" outlineLevel="0" collapsed="false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customFormat="false" ht="14.25" hidden="false" customHeight="true" outlineLevel="0" collapsed="false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customFormat="false" ht="14.25" hidden="false" customHeight="true" outlineLevel="0" collapsed="false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customFormat="false" ht="14.25" hidden="false" customHeight="true" outlineLevel="0" collapsed="false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customFormat="false" ht="14.25" hidden="false" customHeight="true" outlineLevel="0" collapsed="false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customFormat="false" ht="14.25" hidden="false" customHeight="true" outlineLevel="0" collapsed="false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customFormat="false" ht="14.25" hidden="false" customHeight="true" outlineLevel="0" collapsed="false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customFormat="false" ht="14.25" hidden="false" customHeight="true" outlineLevel="0" collapsed="false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customFormat="false" ht="14.25" hidden="false" customHeight="true" outlineLevel="0" collapsed="false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customFormat="false" ht="14.25" hidden="false" customHeight="true" outlineLevel="0" collapsed="false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customFormat="false" ht="14.25" hidden="false" customHeight="true" outlineLevel="0" collapsed="false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customFormat="false" ht="14.25" hidden="false" customHeight="true" outlineLevel="0" collapsed="false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customFormat="false" ht="14.25" hidden="false" customHeight="true" outlineLevel="0" collapsed="false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customFormat="false" ht="14.25" hidden="false" customHeight="true" outlineLevel="0" collapsed="false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customFormat="false" ht="14.25" hidden="false" customHeight="true" outlineLevel="0" collapsed="false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customFormat="false" ht="14.25" hidden="false" customHeight="true" outlineLevel="0" collapsed="false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customFormat="false" ht="14.25" hidden="false" customHeight="true" outlineLevel="0" collapsed="false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customFormat="false" ht="14.25" hidden="false" customHeight="true" outlineLevel="0" collapsed="false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customFormat="false" ht="14.25" hidden="false" customHeight="true" outlineLevel="0" collapsed="false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customFormat="false" ht="14.25" hidden="false" customHeight="true" outlineLevel="0" collapsed="false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customFormat="false" ht="14.25" hidden="false" customHeight="true" outlineLevel="0" collapsed="false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customFormat="false" ht="14.25" hidden="false" customHeight="true" outlineLevel="0" collapsed="false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customFormat="false" ht="14.25" hidden="false" customHeight="true" outlineLevel="0" collapsed="false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customFormat="false" ht="14.25" hidden="false" customHeight="true" outlineLevel="0" collapsed="false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customFormat="false" ht="14.25" hidden="false" customHeight="true" outlineLevel="0" collapsed="false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customFormat="false" ht="14.25" hidden="false" customHeight="true" outlineLevel="0" collapsed="false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customFormat="false" ht="14.25" hidden="false" customHeight="true" outlineLevel="0" collapsed="false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customFormat="false" ht="14.25" hidden="false" customHeight="true" outlineLevel="0" collapsed="false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customFormat="false" ht="14.25" hidden="false" customHeight="true" outlineLevel="0" collapsed="false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customFormat="false" ht="14.25" hidden="false" customHeight="true" outlineLevel="0" collapsed="false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customFormat="false" ht="14.25" hidden="false" customHeight="true" outlineLevel="0" collapsed="false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customFormat="false" ht="14.25" hidden="false" customHeight="true" outlineLevel="0" collapsed="false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customFormat="false" ht="14.25" hidden="false" customHeight="true" outlineLevel="0" collapsed="false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customFormat="false" ht="14.25" hidden="false" customHeight="true" outlineLevel="0" collapsed="false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customFormat="false" ht="14.25" hidden="false" customHeight="true" outlineLevel="0" collapsed="false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customFormat="false" ht="14.25" hidden="false" customHeight="true" outlineLevel="0" collapsed="false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customFormat="false" ht="14.25" hidden="false" customHeight="true" outlineLevel="0" collapsed="false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customFormat="false" ht="14.25" hidden="false" customHeight="true" outlineLevel="0" collapsed="false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customFormat="false" ht="14.25" hidden="false" customHeight="true" outlineLevel="0" collapsed="false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customFormat="false" ht="14.25" hidden="false" customHeight="true" outlineLevel="0" collapsed="false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customFormat="false" ht="14.25" hidden="false" customHeight="true" outlineLevel="0" collapsed="false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customFormat="false" ht="14.25" hidden="false" customHeight="true" outlineLevel="0" collapsed="false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customFormat="false" ht="14.25" hidden="false" customHeight="true" outlineLevel="0" collapsed="false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customFormat="false" ht="14.25" hidden="false" customHeight="true" outlineLevel="0" collapsed="false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customFormat="false" ht="14.25" hidden="false" customHeight="true" outlineLevel="0" collapsed="false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customFormat="false" ht="14.25" hidden="false" customHeight="true" outlineLevel="0" collapsed="false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customFormat="false" ht="14.25" hidden="false" customHeight="true" outlineLevel="0" collapsed="false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customFormat="false" ht="14.25" hidden="false" customHeight="true" outlineLevel="0" collapsed="false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customFormat="false" ht="14.25" hidden="false" customHeight="true" outlineLevel="0" collapsed="false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customFormat="false" ht="14.25" hidden="false" customHeight="true" outlineLevel="0" collapsed="false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customFormat="false" ht="14.25" hidden="false" customHeight="true" outlineLevel="0" collapsed="false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customFormat="false" ht="14.25" hidden="false" customHeight="true" outlineLevel="0" collapsed="false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customFormat="false" ht="14.25" hidden="false" customHeight="true" outlineLevel="0" collapsed="false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customFormat="false" ht="14.25" hidden="false" customHeight="true" outlineLevel="0" collapsed="false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customFormat="false" ht="14.25" hidden="false" customHeight="true" outlineLevel="0" collapsed="false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customFormat="false" ht="14.25" hidden="false" customHeight="true" outlineLevel="0" collapsed="false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customFormat="false" ht="14.25" hidden="false" customHeight="true" outlineLevel="0" collapsed="false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customFormat="false" ht="14.25" hidden="false" customHeight="true" outlineLevel="0" collapsed="false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customFormat="false" ht="14.25" hidden="false" customHeight="true" outlineLevel="0" collapsed="false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customFormat="false" ht="14.25" hidden="false" customHeight="true" outlineLevel="0" collapsed="false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customFormat="false" ht="14.25" hidden="false" customHeight="true" outlineLevel="0" collapsed="false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customFormat="false" ht="14.25" hidden="false" customHeight="true" outlineLevel="0" collapsed="false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customFormat="false" ht="14.25" hidden="false" customHeight="true" outlineLevel="0" collapsed="false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customFormat="false" ht="14.25" hidden="false" customHeight="true" outlineLevel="0" collapsed="false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customFormat="false" ht="14.25" hidden="false" customHeight="true" outlineLevel="0" collapsed="false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customFormat="false" ht="14.25" hidden="false" customHeight="true" outlineLevel="0" collapsed="false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customFormat="false" ht="14.25" hidden="false" customHeight="true" outlineLevel="0" collapsed="false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customFormat="false" ht="14.25" hidden="false" customHeight="true" outlineLevel="0" collapsed="false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customFormat="false" ht="14.25" hidden="false" customHeight="true" outlineLevel="0" collapsed="false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customFormat="false" ht="14.25" hidden="false" customHeight="true" outlineLevel="0" collapsed="false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customFormat="false" ht="14.25" hidden="false" customHeight="true" outlineLevel="0" collapsed="false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customFormat="false" ht="14.25" hidden="false" customHeight="true" outlineLevel="0" collapsed="false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customFormat="false" ht="14.25" hidden="false" customHeight="true" outlineLevel="0" collapsed="false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customFormat="false" ht="14.25" hidden="false" customHeight="true" outlineLevel="0" collapsed="false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customFormat="false" ht="14.25" hidden="false" customHeight="true" outlineLevel="0" collapsed="false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customFormat="false" ht="14.25" hidden="false" customHeight="true" outlineLevel="0" collapsed="false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customFormat="false" ht="14.25" hidden="false" customHeight="true" outlineLevel="0" collapsed="false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customFormat="false" ht="14.25" hidden="false" customHeight="true" outlineLevel="0" collapsed="false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customFormat="false" ht="14.25" hidden="false" customHeight="true" outlineLevel="0" collapsed="false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customFormat="false" ht="14.25" hidden="false" customHeight="true" outlineLevel="0" collapsed="false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customFormat="false" ht="14.25" hidden="false" customHeight="true" outlineLevel="0" collapsed="false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customFormat="false" ht="14.25" hidden="false" customHeight="true" outlineLevel="0" collapsed="false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customFormat="false" ht="14.25" hidden="false" customHeight="true" outlineLevel="0" collapsed="false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customFormat="false" ht="14.25" hidden="false" customHeight="true" outlineLevel="0" collapsed="false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customFormat="false" ht="14.25" hidden="false" customHeight="true" outlineLevel="0" collapsed="false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customFormat="false" ht="14.25" hidden="false" customHeight="true" outlineLevel="0" collapsed="false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customFormat="false" ht="14.25" hidden="false" customHeight="true" outlineLevel="0" collapsed="false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customFormat="false" ht="14.25" hidden="false" customHeight="true" outlineLevel="0" collapsed="false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customFormat="false" ht="14.25" hidden="false" customHeight="true" outlineLevel="0" collapsed="false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customFormat="false" ht="14.25" hidden="false" customHeight="true" outlineLevel="0" collapsed="false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customFormat="false" ht="14.25" hidden="false" customHeight="true" outlineLevel="0" collapsed="false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customFormat="false" ht="14.25" hidden="false" customHeight="true" outlineLevel="0" collapsed="false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customFormat="false" ht="14.25" hidden="false" customHeight="true" outlineLevel="0" collapsed="false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customFormat="false" ht="14.25" hidden="false" customHeight="true" outlineLevel="0" collapsed="false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customFormat="false" ht="14.25" hidden="false" customHeight="true" outlineLevel="0" collapsed="false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customFormat="false" ht="14.25" hidden="false" customHeight="true" outlineLevel="0" collapsed="false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customFormat="false" ht="14.25" hidden="false" customHeight="true" outlineLevel="0" collapsed="false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customFormat="false" ht="14.25" hidden="false" customHeight="true" outlineLevel="0" collapsed="false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customFormat="false" ht="14.25" hidden="false" customHeight="true" outlineLevel="0" collapsed="false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customFormat="false" ht="14.25" hidden="false" customHeight="true" outlineLevel="0" collapsed="false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customFormat="false" ht="14.25" hidden="false" customHeight="true" outlineLevel="0" collapsed="false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customFormat="false" ht="14.25" hidden="false" customHeight="true" outlineLevel="0" collapsed="false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customFormat="false" ht="14.25" hidden="false" customHeight="true" outlineLevel="0" collapsed="false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customFormat="false" ht="14.25" hidden="false" customHeight="true" outlineLevel="0" collapsed="false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customFormat="false" ht="14.25" hidden="false" customHeight="true" outlineLevel="0" collapsed="false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customFormat="false" ht="14.25" hidden="false" customHeight="true" outlineLevel="0" collapsed="false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customFormat="false" ht="14.25" hidden="false" customHeight="true" outlineLevel="0" collapsed="false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customFormat="false" ht="14.25" hidden="false" customHeight="true" outlineLevel="0" collapsed="false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customFormat="false" ht="14.25" hidden="false" customHeight="true" outlineLevel="0" collapsed="false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customFormat="false" ht="14.25" hidden="false" customHeight="true" outlineLevel="0" collapsed="false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customFormat="false" ht="14.25" hidden="false" customHeight="true" outlineLevel="0" collapsed="false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customFormat="false" ht="14.25" hidden="false" customHeight="true" outlineLevel="0" collapsed="false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customFormat="false" ht="14.25" hidden="false" customHeight="true" outlineLevel="0" collapsed="false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customFormat="false" ht="14.25" hidden="false" customHeight="true" outlineLevel="0" collapsed="false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customFormat="false" ht="14.25" hidden="false" customHeight="true" outlineLevel="0" collapsed="false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customFormat="false" ht="14.25" hidden="false" customHeight="true" outlineLevel="0" collapsed="false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customFormat="false" ht="14.25" hidden="false" customHeight="true" outlineLevel="0" collapsed="false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customFormat="false" ht="14.25" hidden="false" customHeight="true" outlineLevel="0" collapsed="false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customFormat="false" ht="14.25" hidden="false" customHeight="true" outlineLevel="0" collapsed="false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customFormat="false" ht="14.25" hidden="false" customHeight="true" outlineLevel="0" collapsed="false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customFormat="false" ht="14.25" hidden="false" customHeight="true" outlineLevel="0" collapsed="false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customFormat="false" ht="14.25" hidden="false" customHeight="true" outlineLevel="0" collapsed="false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customFormat="false" ht="14.25" hidden="false" customHeight="true" outlineLevel="0" collapsed="false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customFormat="false" ht="14.25" hidden="false" customHeight="true" outlineLevel="0" collapsed="false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customFormat="false" ht="14.25" hidden="false" customHeight="true" outlineLevel="0" collapsed="false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customFormat="false" ht="14.25" hidden="false" customHeight="true" outlineLevel="0" collapsed="false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customFormat="false" ht="14.25" hidden="false" customHeight="true" outlineLevel="0" collapsed="false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customFormat="false" ht="14.25" hidden="false" customHeight="true" outlineLevel="0" collapsed="false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customFormat="false" ht="14.25" hidden="false" customHeight="true" outlineLevel="0" collapsed="false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customFormat="false" ht="14.25" hidden="false" customHeight="true" outlineLevel="0" collapsed="false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customFormat="false" ht="14.25" hidden="false" customHeight="true" outlineLevel="0" collapsed="false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customFormat="false" ht="14.25" hidden="false" customHeight="true" outlineLevel="0" collapsed="false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customFormat="false" ht="14.25" hidden="false" customHeight="true" outlineLevel="0" collapsed="false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customFormat="false" ht="14.25" hidden="false" customHeight="true" outlineLevel="0" collapsed="false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customFormat="false" ht="14.25" hidden="false" customHeight="true" outlineLevel="0" collapsed="false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customFormat="false" ht="14.25" hidden="false" customHeight="true" outlineLevel="0" collapsed="false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customFormat="false" ht="14.25" hidden="false" customHeight="true" outlineLevel="0" collapsed="false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customFormat="false" ht="14.25" hidden="false" customHeight="true" outlineLevel="0" collapsed="false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customFormat="false" ht="14.25" hidden="false" customHeight="true" outlineLevel="0" collapsed="false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customFormat="false" ht="14.25" hidden="false" customHeight="true" outlineLevel="0" collapsed="false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customFormat="false" ht="14.25" hidden="false" customHeight="true" outlineLevel="0" collapsed="false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customFormat="false" ht="14.25" hidden="false" customHeight="true" outlineLevel="0" collapsed="false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customFormat="false" ht="14.25" hidden="false" customHeight="true" outlineLevel="0" collapsed="false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customFormat="false" ht="14.25" hidden="false" customHeight="true" outlineLevel="0" collapsed="false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customFormat="false" ht="14.25" hidden="false" customHeight="true" outlineLevel="0" collapsed="false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customFormat="false" ht="14.25" hidden="false" customHeight="true" outlineLevel="0" collapsed="false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customFormat="false" ht="14.25" hidden="false" customHeight="true" outlineLevel="0" collapsed="false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customFormat="false" ht="14.25" hidden="false" customHeight="true" outlineLevel="0" collapsed="false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customFormat="false" ht="14.25" hidden="false" customHeight="true" outlineLevel="0" collapsed="false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customFormat="false" ht="14.25" hidden="false" customHeight="true" outlineLevel="0" collapsed="false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customFormat="false" ht="14.25" hidden="false" customHeight="true" outlineLevel="0" collapsed="false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customFormat="false" ht="14.25" hidden="false" customHeight="true" outlineLevel="0" collapsed="false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customFormat="false" ht="14.25" hidden="false" customHeight="true" outlineLevel="0" collapsed="false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customFormat="false" ht="14.25" hidden="false" customHeight="true" outlineLevel="0" collapsed="false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customFormat="false" ht="14.25" hidden="false" customHeight="true" outlineLevel="0" collapsed="false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customFormat="false" ht="14.25" hidden="false" customHeight="true" outlineLevel="0" collapsed="false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customFormat="false" ht="14.25" hidden="false" customHeight="true" outlineLevel="0" collapsed="false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customFormat="false" ht="14.25" hidden="false" customHeight="true" outlineLevel="0" collapsed="false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customFormat="false" ht="14.25" hidden="false" customHeight="true" outlineLevel="0" collapsed="false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customFormat="false" ht="14.25" hidden="false" customHeight="true" outlineLevel="0" collapsed="false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customFormat="false" ht="14.25" hidden="false" customHeight="true" outlineLevel="0" collapsed="false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customFormat="false" ht="14.25" hidden="false" customHeight="true" outlineLevel="0" collapsed="false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customFormat="false" ht="14.25" hidden="false" customHeight="true" outlineLevel="0" collapsed="false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customFormat="false" ht="14.25" hidden="false" customHeight="true" outlineLevel="0" collapsed="false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customFormat="false" ht="14.25" hidden="false" customHeight="true" outlineLevel="0" collapsed="false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customFormat="false" ht="14.25" hidden="false" customHeight="true" outlineLevel="0" collapsed="false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customFormat="false" ht="14.25" hidden="false" customHeight="true" outlineLevel="0" collapsed="false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customFormat="false" ht="14.25" hidden="false" customHeight="true" outlineLevel="0" collapsed="false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customFormat="false" ht="14.25" hidden="false" customHeight="true" outlineLevel="0" collapsed="false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customFormat="false" ht="14.25" hidden="false" customHeight="true" outlineLevel="0" collapsed="false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customFormat="false" ht="14.25" hidden="false" customHeight="true" outlineLevel="0" collapsed="false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customFormat="false" ht="14.25" hidden="false" customHeight="true" outlineLevel="0" collapsed="false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customFormat="false" ht="14.25" hidden="false" customHeight="true" outlineLevel="0" collapsed="false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customFormat="false" ht="14.25" hidden="false" customHeight="true" outlineLevel="0" collapsed="false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customFormat="false" ht="14.25" hidden="false" customHeight="true" outlineLevel="0" collapsed="false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customFormat="false" ht="14.25" hidden="false" customHeight="true" outlineLevel="0" collapsed="false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customFormat="false" ht="14.25" hidden="false" customHeight="true" outlineLevel="0" collapsed="false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customFormat="false" ht="14.25" hidden="false" customHeight="true" outlineLevel="0" collapsed="false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customFormat="false" ht="14.25" hidden="false" customHeight="true" outlineLevel="0" collapsed="false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customFormat="false" ht="14.25" hidden="false" customHeight="true" outlineLevel="0" collapsed="false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customFormat="false" ht="14.25" hidden="false" customHeight="true" outlineLevel="0" collapsed="false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customFormat="false" ht="14.25" hidden="false" customHeight="true" outlineLevel="0" collapsed="false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customFormat="false" ht="14.25" hidden="false" customHeight="true" outlineLevel="0" collapsed="false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customFormat="false" ht="14.25" hidden="false" customHeight="true" outlineLevel="0" collapsed="false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customFormat="false" ht="14.25" hidden="false" customHeight="true" outlineLevel="0" collapsed="false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customFormat="false" ht="14.25" hidden="false" customHeight="true" outlineLevel="0" collapsed="false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customFormat="false" ht="14.25" hidden="false" customHeight="true" outlineLevel="0" collapsed="false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customFormat="false" ht="14.25" hidden="false" customHeight="true" outlineLevel="0" collapsed="false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customFormat="false" ht="14.25" hidden="false" customHeight="true" outlineLevel="0" collapsed="false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customFormat="false" ht="14.25" hidden="false" customHeight="true" outlineLevel="0" collapsed="false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customFormat="false" ht="14.25" hidden="false" customHeight="true" outlineLevel="0" collapsed="false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customFormat="false" ht="14.25" hidden="false" customHeight="true" outlineLevel="0" collapsed="false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customFormat="false" ht="14.25" hidden="false" customHeight="true" outlineLevel="0" collapsed="false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customFormat="false" ht="14.25" hidden="false" customHeight="true" outlineLevel="0" collapsed="false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customFormat="false" ht="14.25" hidden="false" customHeight="true" outlineLevel="0" collapsed="false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customFormat="false" ht="14.25" hidden="false" customHeight="true" outlineLevel="0" collapsed="false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customFormat="false" ht="14.25" hidden="false" customHeight="true" outlineLevel="0" collapsed="false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customFormat="false" ht="14.25" hidden="false" customHeight="true" outlineLevel="0" collapsed="false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customFormat="false" ht="14.25" hidden="false" customHeight="true" outlineLevel="0" collapsed="false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customFormat="false" ht="14.25" hidden="false" customHeight="true" outlineLevel="0" collapsed="false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customFormat="false" ht="14.25" hidden="false" customHeight="true" outlineLevel="0" collapsed="false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customFormat="false" ht="14.25" hidden="false" customHeight="true" outlineLevel="0" collapsed="false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customFormat="false" ht="14.25" hidden="false" customHeight="true" outlineLevel="0" collapsed="false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customFormat="false" ht="14.25" hidden="false" customHeight="true" outlineLevel="0" collapsed="false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customFormat="false" ht="14.25" hidden="false" customHeight="true" outlineLevel="0" collapsed="false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customFormat="false" ht="14.25" hidden="false" customHeight="true" outlineLevel="0" collapsed="false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customFormat="false" ht="14.25" hidden="false" customHeight="true" outlineLevel="0" collapsed="false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customFormat="false" ht="14.25" hidden="false" customHeight="true" outlineLevel="0" collapsed="false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customFormat="false" ht="14.25" hidden="false" customHeight="true" outlineLevel="0" collapsed="false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customFormat="false" ht="14.25" hidden="false" customHeight="true" outlineLevel="0" collapsed="false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customFormat="false" ht="14.25" hidden="false" customHeight="true" outlineLevel="0" collapsed="false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customFormat="false" ht="14.25" hidden="false" customHeight="true" outlineLevel="0" collapsed="false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customFormat="false" ht="14.25" hidden="false" customHeight="true" outlineLevel="0" collapsed="false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customFormat="false" ht="14.25" hidden="false" customHeight="true" outlineLevel="0" collapsed="false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customFormat="false" ht="14.25" hidden="false" customHeight="true" outlineLevel="0" collapsed="false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customFormat="false" ht="14.25" hidden="false" customHeight="true" outlineLevel="0" collapsed="false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customFormat="false" ht="14.25" hidden="false" customHeight="true" outlineLevel="0" collapsed="false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customFormat="false" ht="14.25" hidden="false" customHeight="true" outlineLevel="0" collapsed="false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customFormat="false" ht="14.25" hidden="false" customHeight="true" outlineLevel="0" collapsed="false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customFormat="false" ht="14.25" hidden="false" customHeight="true" outlineLevel="0" collapsed="false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customFormat="false" ht="14.25" hidden="false" customHeight="true" outlineLevel="0" collapsed="false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customFormat="false" ht="14.25" hidden="false" customHeight="true" outlineLevel="0" collapsed="false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customFormat="false" ht="14.25" hidden="false" customHeight="true" outlineLevel="0" collapsed="false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customFormat="false" ht="14.25" hidden="false" customHeight="true" outlineLevel="0" collapsed="false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customFormat="false" ht="14.25" hidden="false" customHeight="true" outlineLevel="0" collapsed="false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customFormat="false" ht="14.25" hidden="false" customHeight="true" outlineLevel="0" collapsed="false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customFormat="false" ht="14.25" hidden="false" customHeight="true" outlineLevel="0" collapsed="false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customFormat="false" ht="14.25" hidden="false" customHeight="true" outlineLevel="0" collapsed="false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customFormat="false" ht="14.25" hidden="false" customHeight="true" outlineLevel="0" collapsed="false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customFormat="false" ht="14.25" hidden="false" customHeight="true" outlineLevel="0" collapsed="false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customFormat="false" ht="14.25" hidden="false" customHeight="true" outlineLevel="0" collapsed="false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customFormat="false" ht="14.25" hidden="false" customHeight="true" outlineLevel="0" collapsed="false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customFormat="false" ht="14.25" hidden="false" customHeight="true" outlineLevel="0" collapsed="false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customFormat="false" ht="14.25" hidden="false" customHeight="true" outlineLevel="0" collapsed="false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customFormat="false" ht="14.25" hidden="false" customHeight="true" outlineLevel="0" collapsed="false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customFormat="false" ht="14.25" hidden="false" customHeight="true" outlineLevel="0" collapsed="false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customFormat="false" ht="14.25" hidden="false" customHeight="true" outlineLevel="0" collapsed="false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customFormat="false" ht="14.25" hidden="false" customHeight="true" outlineLevel="0" collapsed="false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customFormat="false" ht="14.25" hidden="false" customHeight="true" outlineLevel="0" collapsed="false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customFormat="false" ht="14.25" hidden="false" customHeight="true" outlineLevel="0" collapsed="false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customFormat="false" ht="14.25" hidden="false" customHeight="true" outlineLevel="0" collapsed="false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customFormat="false" ht="14.25" hidden="false" customHeight="true" outlineLevel="0" collapsed="false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customFormat="false" ht="14.25" hidden="false" customHeight="true" outlineLevel="0" collapsed="false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customFormat="false" ht="14.25" hidden="false" customHeight="true" outlineLevel="0" collapsed="false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customFormat="false" ht="14.25" hidden="false" customHeight="true" outlineLevel="0" collapsed="false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customFormat="false" ht="14.25" hidden="false" customHeight="true" outlineLevel="0" collapsed="false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customFormat="false" ht="14.25" hidden="false" customHeight="true" outlineLevel="0" collapsed="false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customFormat="false" ht="14.25" hidden="false" customHeight="true" outlineLevel="0" collapsed="false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customFormat="false" ht="14.25" hidden="false" customHeight="true" outlineLevel="0" collapsed="false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customFormat="false" ht="14.25" hidden="false" customHeight="true" outlineLevel="0" collapsed="false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customFormat="false" ht="14.25" hidden="false" customHeight="true" outlineLevel="0" collapsed="false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customFormat="false" ht="14.25" hidden="false" customHeight="true" outlineLevel="0" collapsed="false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customFormat="false" ht="14.25" hidden="false" customHeight="true" outlineLevel="0" collapsed="false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customFormat="false" ht="14.25" hidden="false" customHeight="true" outlineLevel="0" collapsed="false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customFormat="false" ht="14.25" hidden="false" customHeight="true" outlineLevel="0" collapsed="false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customFormat="false" ht="14.25" hidden="false" customHeight="true" outlineLevel="0" collapsed="false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customFormat="false" ht="14.25" hidden="false" customHeight="true" outlineLevel="0" collapsed="false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customFormat="false" ht="14.25" hidden="false" customHeight="true" outlineLevel="0" collapsed="false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customFormat="false" ht="14.25" hidden="false" customHeight="true" outlineLevel="0" collapsed="false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customFormat="false" ht="14.25" hidden="false" customHeight="true" outlineLevel="0" collapsed="false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customFormat="false" ht="14.25" hidden="false" customHeight="true" outlineLevel="0" collapsed="false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customFormat="false" ht="14.25" hidden="false" customHeight="true" outlineLevel="0" collapsed="false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customFormat="false" ht="14.25" hidden="false" customHeight="true" outlineLevel="0" collapsed="false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customFormat="false" ht="14.25" hidden="false" customHeight="true" outlineLevel="0" collapsed="false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customFormat="false" ht="14.25" hidden="false" customHeight="true" outlineLevel="0" collapsed="false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customFormat="false" ht="14.25" hidden="false" customHeight="true" outlineLevel="0" collapsed="false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customFormat="false" ht="14.25" hidden="false" customHeight="true" outlineLevel="0" collapsed="false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customFormat="false" ht="14.25" hidden="false" customHeight="true" outlineLevel="0" collapsed="false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customFormat="false" ht="14.25" hidden="false" customHeight="true" outlineLevel="0" collapsed="false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customFormat="false" ht="14.25" hidden="false" customHeight="true" outlineLevel="0" collapsed="false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customFormat="false" ht="14.25" hidden="false" customHeight="true" outlineLevel="0" collapsed="false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customFormat="false" ht="14.25" hidden="false" customHeight="true" outlineLevel="0" collapsed="false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customFormat="false" ht="14.25" hidden="false" customHeight="true" outlineLevel="0" collapsed="false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customFormat="false" ht="14.25" hidden="false" customHeight="true" outlineLevel="0" collapsed="false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customFormat="false" ht="14.25" hidden="false" customHeight="true" outlineLevel="0" collapsed="false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customFormat="false" ht="14.25" hidden="false" customHeight="true" outlineLevel="0" collapsed="false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customFormat="false" ht="14.25" hidden="false" customHeight="true" outlineLevel="0" collapsed="false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customFormat="false" ht="14.25" hidden="false" customHeight="true" outlineLevel="0" collapsed="false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customFormat="false" ht="14.25" hidden="false" customHeight="true" outlineLevel="0" collapsed="false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customFormat="false" ht="14.25" hidden="false" customHeight="true" outlineLevel="0" collapsed="false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customFormat="false" ht="14.25" hidden="false" customHeight="true" outlineLevel="0" collapsed="false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customFormat="false" ht="14.25" hidden="false" customHeight="true" outlineLevel="0" collapsed="false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customFormat="false" ht="14.25" hidden="false" customHeight="true" outlineLevel="0" collapsed="false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customFormat="false" ht="14.25" hidden="false" customHeight="true" outlineLevel="0" collapsed="false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customFormat="false" ht="14.25" hidden="false" customHeight="true" outlineLevel="0" collapsed="false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customFormat="false" ht="14.25" hidden="false" customHeight="true" outlineLevel="0" collapsed="false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customFormat="false" ht="14.25" hidden="false" customHeight="true" outlineLevel="0" collapsed="false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customFormat="false" ht="14.25" hidden="false" customHeight="true" outlineLevel="0" collapsed="false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customFormat="false" ht="14.25" hidden="false" customHeight="true" outlineLevel="0" collapsed="false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customFormat="false" ht="14.25" hidden="false" customHeight="true" outlineLevel="0" collapsed="false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customFormat="false" ht="14.25" hidden="false" customHeight="true" outlineLevel="0" collapsed="false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customFormat="false" ht="14.25" hidden="false" customHeight="true" outlineLevel="0" collapsed="false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customFormat="false" ht="14.25" hidden="false" customHeight="true" outlineLevel="0" collapsed="false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customFormat="false" ht="14.25" hidden="false" customHeight="true" outlineLevel="0" collapsed="false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customFormat="false" ht="14.25" hidden="false" customHeight="true" outlineLevel="0" collapsed="false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customFormat="false" ht="14.25" hidden="false" customHeight="true" outlineLevel="0" collapsed="false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customFormat="false" ht="14.25" hidden="false" customHeight="true" outlineLevel="0" collapsed="false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customFormat="false" ht="14.25" hidden="false" customHeight="true" outlineLevel="0" collapsed="false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customFormat="false" ht="14.25" hidden="false" customHeight="true" outlineLevel="0" collapsed="false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customFormat="false" ht="14.25" hidden="false" customHeight="true" outlineLevel="0" collapsed="false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customFormat="false" ht="14.25" hidden="false" customHeight="true" outlineLevel="0" collapsed="false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customFormat="false" ht="14.25" hidden="false" customHeight="true" outlineLevel="0" collapsed="false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customFormat="false" ht="14.25" hidden="false" customHeight="true" outlineLevel="0" collapsed="false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customFormat="false" ht="14.25" hidden="false" customHeight="true" outlineLevel="0" collapsed="false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customFormat="false" ht="14.25" hidden="false" customHeight="true" outlineLevel="0" collapsed="false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customFormat="false" ht="14.25" hidden="false" customHeight="true" outlineLevel="0" collapsed="false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customFormat="false" ht="14.25" hidden="false" customHeight="true" outlineLevel="0" collapsed="false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customFormat="false" ht="14.25" hidden="false" customHeight="true" outlineLevel="0" collapsed="false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customFormat="false" ht="14.25" hidden="false" customHeight="true" outlineLevel="0" collapsed="false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customFormat="false" ht="14.25" hidden="false" customHeight="true" outlineLevel="0" collapsed="false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customFormat="false" ht="14.25" hidden="false" customHeight="true" outlineLevel="0" collapsed="false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customFormat="false" ht="14.25" hidden="false" customHeight="true" outlineLevel="0" collapsed="false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customFormat="false" ht="14.25" hidden="false" customHeight="true" outlineLevel="0" collapsed="false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customFormat="false" ht="14.25" hidden="false" customHeight="true" outlineLevel="0" collapsed="false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customFormat="false" ht="14.25" hidden="false" customHeight="true" outlineLevel="0" collapsed="false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customFormat="false" ht="14.25" hidden="false" customHeight="true" outlineLevel="0" collapsed="false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customFormat="false" ht="14.25" hidden="false" customHeight="true" outlineLevel="0" collapsed="false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customFormat="false" ht="14.25" hidden="false" customHeight="true" outlineLevel="0" collapsed="false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customFormat="false" ht="14.25" hidden="false" customHeight="true" outlineLevel="0" collapsed="false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customFormat="false" ht="14.25" hidden="false" customHeight="true" outlineLevel="0" collapsed="false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customFormat="false" ht="14.25" hidden="false" customHeight="true" outlineLevel="0" collapsed="false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customFormat="false" ht="14.25" hidden="false" customHeight="true" outlineLevel="0" collapsed="false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customFormat="false" ht="14.25" hidden="false" customHeight="true" outlineLevel="0" collapsed="false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customFormat="false" ht="14.25" hidden="false" customHeight="true" outlineLevel="0" collapsed="false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customFormat="false" ht="14.25" hidden="false" customHeight="true" outlineLevel="0" collapsed="false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customFormat="false" ht="14.25" hidden="false" customHeight="true" outlineLevel="0" collapsed="false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customFormat="false" ht="14.25" hidden="false" customHeight="true" outlineLevel="0" collapsed="false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customFormat="false" ht="14.25" hidden="false" customHeight="true" outlineLevel="0" collapsed="false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customFormat="false" ht="14.25" hidden="false" customHeight="true" outlineLevel="0" collapsed="false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customFormat="false" ht="14.25" hidden="false" customHeight="true" outlineLevel="0" collapsed="false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customFormat="false" ht="14.25" hidden="false" customHeight="true" outlineLevel="0" collapsed="false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customFormat="false" ht="14.25" hidden="false" customHeight="true" outlineLevel="0" collapsed="false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customFormat="false" ht="14.25" hidden="false" customHeight="true" outlineLevel="0" collapsed="false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customFormat="false" ht="14.25" hidden="false" customHeight="true" outlineLevel="0" collapsed="false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customFormat="false" ht="14.25" hidden="false" customHeight="true" outlineLevel="0" collapsed="false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customFormat="false" ht="14.25" hidden="false" customHeight="true" outlineLevel="0" collapsed="false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customFormat="false" ht="14.25" hidden="false" customHeight="true" outlineLevel="0" collapsed="false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customFormat="false" ht="14.25" hidden="false" customHeight="true" outlineLevel="0" collapsed="false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customFormat="false" ht="14.25" hidden="false" customHeight="true" outlineLevel="0" collapsed="false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customFormat="false" ht="14.25" hidden="false" customHeight="true" outlineLevel="0" collapsed="false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customFormat="false" ht="14.25" hidden="false" customHeight="true" outlineLevel="0" collapsed="false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customFormat="false" ht="14.25" hidden="false" customHeight="true" outlineLevel="0" collapsed="false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customFormat="false" ht="14.25" hidden="false" customHeight="true" outlineLevel="0" collapsed="false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customFormat="false" ht="14.25" hidden="false" customHeight="true" outlineLevel="0" collapsed="false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customFormat="false" ht="14.25" hidden="false" customHeight="true" outlineLevel="0" collapsed="false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customFormat="false" ht="14.25" hidden="false" customHeight="true" outlineLevel="0" collapsed="false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customFormat="false" ht="14.25" hidden="false" customHeight="true" outlineLevel="0" collapsed="false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customFormat="false" ht="14.25" hidden="false" customHeight="true" outlineLevel="0" collapsed="false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customFormat="false" ht="14.25" hidden="false" customHeight="true" outlineLevel="0" collapsed="false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customFormat="false" ht="14.25" hidden="false" customHeight="true" outlineLevel="0" collapsed="false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customFormat="false" ht="14.25" hidden="false" customHeight="true" outlineLevel="0" collapsed="false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customFormat="false" ht="14.25" hidden="false" customHeight="true" outlineLevel="0" collapsed="false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customFormat="false" ht="14.25" hidden="false" customHeight="true" outlineLevel="0" collapsed="false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customFormat="false" ht="14.25" hidden="false" customHeight="true" outlineLevel="0" collapsed="false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customFormat="false" ht="14.25" hidden="false" customHeight="true" outlineLevel="0" collapsed="false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customFormat="false" ht="14.25" hidden="false" customHeight="true" outlineLevel="0" collapsed="false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customFormat="false" ht="14.25" hidden="false" customHeight="true" outlineLevel="0" collapsed="false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customFormat="false" ht="14.25" hidden="false" customHeight="true" outlineLevel="0" collapsed="false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customFormat="false" ht="14.25" hidden="false" customHeight="true" outlineLevel="0" collapsed="false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customFormat="false" ht="14.25" hidden="false" customHeight="true" outlineLevel="0" collapsed="false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customFormat="false" ht="14.25" hidden="false" customHeight="true" outlineLevel="0" collapsed="false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customFormat="false" ht="14.25" hidden="false" customHeight="true" outlineLevel="0" collapsed="false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customFormat="false" ht="14.25" hidden="false" customHeight="true" outlineLevel="0" collapsed="false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customFormat="false" ht="14.25" hidden="false" customHeight="true" outlineLevel="0" collapsed="false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customFormat="false" ht="14.25" hidden="false" customHeight="true" outlineLevel="0" collapsed="false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customFormat="false" ht="14.25" hidden="false" customHeight="true" outlineLevel="0" collapsed="false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customFormat="false" ht="14.25" hidden="false" customHeight="true" outlineLevel="0" collapsed="false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customFormat="false" ht="14.25" hidden="false" customHeight="true" outlineLevel="0" collapsed="false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customFormat="false" ht="14.25" hidden="false" customHeight="true" outlineLevel="0" collapsed="false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customFormat="false" ht="14.25" hidden="false" customHeight="true" outlineLevel="0" collapsed="false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customFormat="false" ht="14.25" hidden="false" customHeight="true" outlineLevel="0" collapsed="false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customFormat="false" ht="14.25" hidden="false" customHeight="true" outlineLevel="0" collapsed="false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customFormat="false" ht="14.25" hidden="false" customHeight="true" outlineLevel="0" collapsed="false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customFormat="false" ht="14.25" hidden="false" customHeight="true" outlineLevel="0" collapsed="false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customFormat="false" ht="14.25" hidden="false" customHeight="true" outlineLevel="0" collapsed="false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customFormat="false" ht="14.25" hidden="false" customHeight="true" outlineLevel="0" collapsed="false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customFormat="false" ht="14.25" hidden="false" customHeight="true" outlineLevel="0" collapsed="false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customFormat="false" ht="14.25" hidden="false" customHeight="true" outlineLevel="0" collapsed="false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customFormat="false" ht="14.25" hidden="false" customHeight="true" outlineLevel="0" collapsed="false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customFormat="false" ht="14.25" hidden="false" customHeight="true" outlineLevel="0" collapsed="false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customFormat="false" ht="14.25" hidden="false" customHeight="true" outlineLevel="0" collapsed="false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customFormat="false" ht="14.25" hidden="false" customHeight="true" outlineLevel="0" collapsed="false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customFormat="false" ht="14.25" hidden="false" customHeight="true" outlineLevel="0" collapsed="false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customFormat="false" ht="14.25" hidden="false" customHeight="true" outlineLevel="0" collapsed="false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customFormat="false" ht="14.25" hidden="false" customHeight="true" outlineLevel="0" collapsed="false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customFormat="false" ht="14.25" hidden="false" customHeight="true" outlineLevel="0" collapsed="false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customFormat="false" ht="14.25" hidden="false" customHeight="true" outlineLevel="0" collapsed="false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customFormat="false" ht="14.25" hidden="false" customHeight="true" outlineLevel="0" collapsed="false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customFormat="false" ht="14.25" hidden="false" customHeight="true" outlineLevel="0" collapsed="false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customFormat="false" ht="14.25" hidden="false" customHeight="true" outlineLevel="0" collapsed="false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customFormat="false" ht="14.25" hidden="false" customHeight="true" outlineLevel="0" collapsed="false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customFormat="false" ht="14.25" hidden="false" customHeight="true" outlineLevel="0" collapsed="false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customFormat="false" ht="14.25" hidden="false" customHeight="true" outlineLevel="0" collapsed="false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customFormat="false" ht="14.25" hidden="false" customHeight="true" outlineLevel="0" collapsed="false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customFormat="false" ht="14.25" hidden="false" customHeight="true" outlineLevel="0" collapsed="false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customFormat="false" ht="14.25" hidden="false" customHeight="true" outlineLevel="0" collapsed="false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customFormat="false" ht="14.25" hidden="false" customHeight="true" outlineLevel="0" collapsed="false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customFormat="false" ht="14.25" hidden="false" customHeight="true" outlineLevel="0" collapsed="false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customFormat="false" ht="14.25" hidden="false" customHeight="true" outlineLevel="0" collapsed="false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customFormat="false" ht="14.25" hidden="false" customHeight="true" outlineLevel="0" collapsed="false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customFormat="false" ht="14.25" hidden="false" customHeight="true" outlineLevel="0" collapsed="false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customFormat="false" ht="14.25" hidden="false" customHeight="true" outlineLevel="0" collapsed="false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customFormat="false" ht="14.25" hidden="false" customHeight="true" outlineLevel="0" collapsed="false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customFormat="false" ht="14.25" hidden="false" customHeight="true" outlineLevel="0" collapsed="false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customFormat="false" ht="14.25" hidden="false" customHeight="true" outlineLevel="0" collapsed="false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customFormat="false" ht="14.25" hidden="false" customHeight="true" outlineLevel="0" collapsed="false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customFormat="false" ht="14.25" hidden="false" customHeight="true" outlineLevel="0" collapsed="false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customFormat="false" ht="14.25" hidden="false" customHeight="true" outlineLevel="0" collapsed="false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customFormat="false" ht="14.25" hidden="false" customHeight="true" outlineLevel="0" collapsed="false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customFormat="false" ht="14.25" hidden="false" customHeight="true" outlineLevel="0" collapsed="false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customFormat="false" ht="14.25" hidden="false" customHeight="true" outlineLevel="0" collapsed="false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customFormat="false" ht="14.25" hidden="false" customHeight="true" outlineLevel="0" collapsed="false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customFormat="false" ht="14.25" hidden="false" customHeight="true" outlineLevel="0" collapsed="false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customFormat="false" ht="14.25" hidden="false" customHeight="true" outlineLevel="0" collapsed="false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customFormat="false" ht="14.25" hidden="false" customHeight="true" outlineLevel="0" collapsed="false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customFormat="false" ht="14.25" hidden="false" customHeight="true" outlineLevel="0" collapsed="false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customFormat="false" ht="14.25" hidden="false" customHeight="true" outlineLevel="0" collapsed="false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customFormat="false" ht="14.25" hidden="false" customHeight="true" outlineLevel="0" collapsed="false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customFormat="false" ht="14.25" hidden="false" customHeight="true" outlineLevel="0" collapsed="false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customFormat="false" ht="14.25" hidden="false" customHeight="true" outlineLevel="0" collapsed="false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customFormat="false" ht="14.25" hidden="false" customHeight="true" outlineLevel="0" collapsed="false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customFormat="false" ht="14.25" hidden="false" customHeight="true" outlineLevel="0" collapsed="false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customFormat="false" ht="14.25" hidden="false" customHeight="true" outlineLevel="0" collapsed="false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customFormat="false" ht="14.25" hidden="false" customHeight="true" outlineLevel="0" collapsed="false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customFormat="false" ht="14.25" hidden="false" customHeight="true" outlineLevel="0" collapsed="false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customFormat="false" ht="14.25" hidden="false" customHeight="true" outlineLevel="0" collapsed="false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customFormat="false" ht="14.25" hidden="false" customHeight="true" outlineLevel="0" collapsed="false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customFormat="false" ht="14.25" hidden="false" customHeight="true" outlineLevel="0" collapsed="false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customFormat="false" ht="14.25" hidden="false" customHeight="true" outlineLevel="0" collapsed="false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customFormat="false" ht="14.25" hidden="false" customHeight="true" outlineLevel="0" collapsed="false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customFormat="false" ht="14.25" hidden="false" customHeight="true" outlineLevel="0" collapsed="false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customFormat="false" ht="14.25" hidden="false" customHeight="true" outlineLevel="0" collapsed="false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customFormat="false" ht="14.25" hidden="false" customHeight="true" outlineLevel="0" collapsed="false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customFormat="false" ht="14.25" hidden="false" customHeight="true" outlineLevel="0" collapsed="false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customFormat="false" ht="14.25" hidden="false" customHeight="true" outlineLevel="0" collapsed="false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customFormat="false" ht="14.25" hidden="false" customHeight="true" outlineLevel="0" collapsed="false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customFormat="false" ht="14.25" hidden="false" customHeight="true" outlineLevel="0" collapsed="false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customFormat="false" ht="14.25" hidden="false" customHeight="true" outlineLevel="0" collapsed="false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customFormat="false" ht="14.25" hidden="false" customHeight="true" outlineLevel="0" collapsed="false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customFormat="false" ht="14.25" hidden="false" customHeight="true" outlineLevel="0" collapsed="false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customFormat="false" ht="14.25" hidden="false" customHeight="true" outlineLevel="0" collapsed="false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customFormat="false" ht="14.25" hidden="false" customHeight="true" outlineLevel="0" collapsed="false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customFormat="false" ht="14.25" hidden="false" customHeight="true" outlineLevel="0" collapsed="false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customFormat="false" ht="14.25" hidden="false" customHeight="true" outlineLevel="0" collapsed="false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customFormat="false" ht="14.25" hidden="false" customHeight="true" outlineLevel="0" collapsed="false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customFormat="false" ht="14.25" hidden="false" customHeight="true" outlineLevel="0" collapsed="false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customFormat="false" ht="14.25" hidden="false" customHeight="true" outlineLevel="0" collapsed="false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customFormat="false" ht="14.25" hidden="false" customHeight="true" outlineLevel="0" collapsed="false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customFormat="false" ht="14.25" hidden="false" customHeight="true" outlineLevel="0" collapsed="false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customFormat="false" ht="14.25" hidden="false" customHeight="true" outlineLevel="0" collapsed="false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customFormat="false" ht="14.25" hidden="false" customHeight="true" outlineLevel="0" collapsed="false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customFormat="false" ht="14.25" hidden="false" customHeight="true" outlineLevel="0" collapsed="false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customFormat="false" ht="14.25" hidden="false" customHeight="true" outlineLevel="0" collapsed="false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customFormat="false" ht="14.25" hidden="false" customHeight="true" outlineLevel="0" collapsed="false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customFormat="false" ht="14.25" hidden="false" customHeight="true" outlineLevel="0" collapsed="false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customFormat="false" ht="14.25" hidden="false" customHeight="true" outlineLevel="0" collapsed="false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customFormat="false" ht="14.25" hidden="false" customHeight="true" outlineLevel="0" collapsed="false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customFormat="false" ht="14.25" hidden="false" customHeight="true" outlineLevel="0" collapsed="false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customFormat="false" ht="14.25" hidden="false" customHeight="true" outlineLevel="0" collapsed="false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customFormat="false" ht="14.25" hidden="false" customHeight="true" outlineLevel="0" collapsed="false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customFormat="false" ht="14.25" hidden="false" customHeight="true" outlineLevel="0" collapsed="false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customFormat="false" ht="14.25" hidden="false" customHeight="true" outlineLevel="0" collapsed="false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customFormat="false" ht="14.25" hidden="false" customHeight="true" outlineLevel="0" collapsed="false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customFormat="false" ht="14.25" hidden="false" customHeight="true" outlineLevel="0" collapsed="false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customFormat="false" ht="14.25" hidden="false" customHeight="true" outlineLevel="0" collapsed="false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customFormat="false" ht="14.25" hidden="false" customHeight="true" outlineLevel="0" collapsed="false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customFormat="false" ht="14.25" hidden="false" customHeight="true" outlineLevel="0" collapsed="false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customFormat="false" ht="14.25" hidden="false" customHeight="true" outlineLevel="0" collapsed="false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customFormat="false" ht="14.25" hidden="false" customHeight="true" outlineLevel="0" collapsed="false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customFormat="false" ht="14.25" hidden="false" customHeight="true" outlineLevel="0" collapsed="false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customFormat="false" ht="14.25" hidden="false" customHeight="true" outlineLevel="0" collapsed="false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customFormat="false" ht="14.25" hidden="false" customHeight="true" outlineLevel="0" collapsed="false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customFormat="false" ht="14.25" hidden="false" customHeight="true" outlineLevel="0" collapsed="false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customFormat="false" ht="14.25" hidden="false" customHeight="true" outlineLevel="0" collapsed="false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customFormat="false" ht="14.25" hidden="false" customHeight="true" outlineLevel="0" collapsed="false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customFormat="false" ht="14.25" hidden="false" customHeight="true" outlineLevel="0" collapsed="false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customFormat="false" ht="14.25" hidden="false" customHeight="true" outlineLevel="0" collapsed="false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customFormat="false" ht="14.25" hidden="false" customHeight="true" outlineLevel="0" collapsed="false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customFormat="false" ht="14.25" hidden="false" customHeight="true" outlineLevel="0" collapsed="false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customFormat="false" ht="14.25" hidden="false" customHeight="true" outlineLevel="0" collapsed="false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customFormat="false" ht="14.25" hidden="false" customHeight="true" outlineLevel="0" collapsed="false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customFormat="false" ht="14.25" hidden="false" customHeight="true" outlineLevel="0" collapsed="false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customFormat="false" ht="14.25" hidden="false" customHeight="true" outlineLevel="0" collapsed="false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customFormat="false" ht="14.25" hidden="false" customHeight="true" outlineLevel="0" collapsed="false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customFormat="false" ht="14.25" hidden="false" customHeight="true" outlineLevel="0" collapsed="false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customFormat="false" ht="14.25" hidden="false" customHeight="true" outlineLevel="0" collapsed="false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customFormat="false" ht="14.25" hidden="false" customHeight="true" outlineLevel="0" collapsed="false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customFormat="false" ht="14.25" hidden="false" customHeight="true" outlineLevel="0" collapsed="false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customFormat="false" ht="14.25" hidden="false" customHeight="true" outlineLevel="0" collapsed="false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customFormat="false" ht="14.25" hidden="false" customHeight="true" outlineLevel="0" collapsed="false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customFormat="false" ht="14.25" hidden="false" customHeight="true" outlineLevel="0" collapsed="false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customFormat="false" ht="14.25" hidden="false" customHeight="true" outlineLevel="0" collapsed="false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customFormat="false" ht="14.25" hidden="false" customHeight="true" outlineLevel="0" collapsed="false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customFormat="false" ht="14.25" hidden="false" customHeight="true" outlineLevel="0" collapsed="false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customFormat="false" ht="14.25" hidden="false" customHeight="true" outlineLevel="0" collapsed="false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customFormat="false" ht="14.25" hidden="false" customHeight="true" outlineLevel="0" collapsed="false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customFormat="false" ht="14.25" hidden="false" customHeight="true" outlineLevel="0" collapsed="false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customFormat="false" ht="14.25" hidden="false" customHeight="true" outlineLevel="0" collapsed="false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customFormat="false" ht="14.25" hidden="false" customHeight="true" outlineLevel="0" collapsed="false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customFormat="false" ht="14.25" hidden="false" customHeight="true" outlineLevel="0" collapsed="false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customFormat="false" ht="14.25" hidden="false" customHeight="true" outlineLevel="0" collapsed="false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customFormat="false" ht="14.25" hidden="false" customHeight="true" outlineLevel="0" collapsed="false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customFormat="false" ht="14.25" hidden="false" customHeight="true" outlineLevel="0" collapsed="false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customFormat="false" ht="14.25" hidden="false" customHeight="true" outlineLevel="0" collapsed="false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customFormat="false" ht="14.25" hidden="false" customHeight="true" outlineLevel="0" collapsed="false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customFormat="false" ht="14.25" hidden="false" customHeight="true" outlineLevel="0" collapsed="false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customFormat="false" ht="14.25" hidden="false" customHeight="true" outlineLevel="0" collapsed="false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customFormat="false" ht="14.25" hidden="false" customHeight="true" outlineLevel="0" collapsed="false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customFormat="false" ht="14.25" hidden="false" customHeight="true" outlineLevel="0" collapsed="false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customFormat="false" ht="14.25" hidden="false" customHeight="true" outlineLevel="0" collapsed="false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customFormat="false" ht="14.25" hidden="false" customHeight="true" outlineLevel="0" collapsed="false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customFormat="false" ht="14.25" hidden="false" customHeight="true" outlineLevel="0" collapsed="false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customFormat="false" ht="14.25" hidden="false" customHeight="true" outlineLevel="0" collapsed="false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customFormat="false" ht="14.25" hidden="false" customHeight="true" outlineLevel="0" collapsed="false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customFormat="false" ht="14.25" hidden="false" customHeight="true" outlineLevel="0" collapsed="false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customFormat="false" ht="14.25" hidden="false" customHeight="true" outlineLevel="0" collapsed="false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customFormat="false" ht="14.25" hidden="false" customHeight="true" outlineLevel="0" collapsed="false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customFormat="false" ht="14.25" hidden="false" customHeight="true" outlineLevel="0" collapsed="false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customFormat="false" ht="14.25" hidden="false" customHeight="true" outlineLevel="0" collapsed="false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customFormat="false" ht="14.25" hidden="false" customHeight="true" outlineLevel="0" collapsed="false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customFormat="false" ht="14.25" hidden="false" customHeight="true" outlineLevel="0" collapsed="false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customFormat="false" ht="14.25" hidden="false" customHeight="true" outlineLevel="0" collapsed="false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customFormat="false" ht="14.25" hidden="false" customHeight="true" outlineLevel="0" collapsed="false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customFormat="false" ht="14.25" hidden="false" customHeight="true" outlineLevel="0" collapsed="false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customFormat="false" ht="14.25" hidden="false" customHeight="true" outlineLevel="0" collapsed="false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customFormat="false" ht="14.25" hidden="false" customHeight="true" outlineLevel="0" collapsed="false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customFormat="false" ht="14.25" hidden="false" customHeight="true" outlineLevel="0" collapsed="false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customFormat="false" ht="14.25" hidden="false" customHeight="true" outlineLevel="0" collapsed="false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customFormat="false" ht="14.25" hidden="false" customHeight="true" outlineLevel="0" collapsed="false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customFormat="false" ht="14.25" hidden="false" customHeight="true" outlineLevel="0" collapsed="false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customFormat="false" ht="14.25" hidden="false" customHeight="true" outlineLevel="0" collapsed="false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customFormat="false" ht="14.25" hidden="false" customHeight="true" outlineLevel="0" collapsed="false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customFormat="false" ht="14.25" hidden="false" customHeight="true" outlineLevel="0" collapsed="false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customFormat="false" ht="14.25" hidden="false" customHeight="true" outlineLevel="0" collapsed="false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customFormat="false" ht="14.25" hidden="false" customHeight="true" outlineLevel="0" collapsed="false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customFormat="false" ht="14.25" hidden="false" customHeight="true" outlineLevel="0" collapsed="false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customFormat="false" ht="14.25" hidden="false" customHeight="true" outlineLevel="0" collapsed="false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customFormat="false" ht="14.25" hidden="false" customHeight="true" outlineLevel="0" collapsed="false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customFormat="false" ht="14.25" hidden="false" customHeight="true" outlineLevel="0" collapsed="false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customFormat="false" ht="14.25" hidden="false" customHeight="true" outlineLevel="0" collapsed="false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customFormat="false" ht="14.25" hidden="false" customHeight="true" outlineLevel="0" collapsed="false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customFormat="false" ht="14.25" hidden="false" customHeight="true" outlineLevel="0" collapsed="false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customFormat="false" ht="14.25" hidden="false" customHeight="true" outlineLevel="0" collapsed="false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customFormat="false" ht="14.25" hidden="false" customHeight="true" outlineLevel="0" collapsed="false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customFormat="false" ht="14.25" hidden="false" customHeight="true" outlineLevel="0" collapsed="false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customFormat="false" ht="14.25" hidden="false" customHeight="true" outlineLevel="0" collapsed="false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customFormat="false" ht="14.25" hidden="false" customHeight="true" outlineLevel="0" collapsed="false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customFormat="false" ht="14.25" hidden="false" customHeight="true" outlineLevel="0" collapsed="false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customFormat="false" ht="14.25" hidden="false" customHeight="true" outlineLevel="0" collapsed="false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customFormat="false" ht="14.25" hidden="false" customHeight="true" outlineLevel="0" collapsed="false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customFormat="false" ht="14.25" hidden="false" customHeight="true" outlineLevel="0" collapsed="false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customFormat="false" ht="14.25" hidden="false" customHeight="true" outlineLevel="0" collapsed="false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customFormat="false" ht="14.25" hidden="false" customHeight="true" outlineLevel="0" collapsed="false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customFormat="false" ht="14.25" hidden="false" customHeight="true" outlineLevel="0" collapsed="false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customFormat="false" ht="14.25" hidden="false" customHeight="true" outlineLevel="0" collapsed="false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customFormat="false" ht="14.25" hidden="false" customHeight="true" outlineLevel="0" collapsed="false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customFormat="false" ht="14.25" hidden="false" customHeight="true" outlineLevel="0" collapsed="false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customFormat="false" ht="14.25" hidden="false" customHeight="true" outlineLevel="0" collapsed="false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customFormat="false" ht="14.25" hidden="false" customHeight="true" outlineLevel="0" collapsed="false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customFormat="false" ht="14.25" hidden="false" customHeight="true" outlineLevel="0" collapsed="false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customFormat="false" ht="14.25" hidden="false" customHeight="true" outlineLevel="0" collapsed="false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customFormat="false" ht="14.25" hidden="false" customHeight="true" outlineLevel="0" collapsed="false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customFormat="false" ht="14.25" hidden="false" customHeight="true" outlineLevel="0" collapsed="false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customFormat="false" ht="14.25" hidden="false" customHeight="true" outlineLevel="0" collapsed="false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customFormat="false" ht="14.25" hidden="false" customHeight="true" outlineLevel="0" collapsed="false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customFormat="false" ht="14.25" hidden="false" customHeight="true" outlineLevel="0" collapsed="false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customFormat="false" ht="14.25" hidden="false" customHeight="true" outlineLevel="0" collapsed="false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customFormat="false" ht="14.25" hidden="false" customHeight="true" outlineLevel="0" collapsed="false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customFormat="false" ht="14.25" hidden="false" customHeight="true" outlineLevel="0" collapsed="false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customFormat="false" ht="14.25" hidden="false" customHeight="true" outlineLevel="0" collapsed="false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customFormat="false" ht="14.25" hidden="false" customHeight="true" outlineLevel="0" collapsed="false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customFormat="false" ht="14.25" hidden="false" customHeight="true" outlineLevel="0" collapsed="false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customFormat="false" ht="14.25" hidden="false" customHeight="true" outlineLevel="0" collapsed="false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customFormat="false" ht="14.25" hidden="false" customHeight="true" outlineLevel="0" collapsed="false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customFormat="false" ht="14.25" hidden="false" customHeight="true" outlineLevel="0" collapsed="false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customFormat="false" ht="14.25" hidden="false" customHeight="true" outlineLevel="0" collapsed="false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customFormat="false" ht="14.25" hidden="false" customHeight="true" outlineLevel="0" collapsed="false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customFormat="false" ht="14.25" hidden="false" customHeight="true" outlineLevel="0" collapsed="false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customFormat="false" ht="14.25" hidden="false" customHeight="true" outlineLevel="0" collapsed="false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customFormat="false" ht="14.25" hidden="false" customHeight="true" outlineLevel="0" collapsed="false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customFormat="false" ht="14.25" hidden="false" customHeight="true" outlineLevel="0" collapsed="false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customFormat="false" ht="14.25" hidden="false" customHeight="true" outlineLevel="0" collapsed="false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customFormat="false" ht="14.25" hidden="false" customHeight="true" outlineLevel="0" collapsed="false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customFormat="false" ht="14.25" hidden="false" customHeight="true" outlineLevel="0" collapsed="false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customFormat="false" ht="14.25" hidden="false" customHeight="true" outlineLevel="0" collapsed="false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customFormat="false" ht="14.25" hidden="false" customHeight="true" outlineLevel="0" collapsed="false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customFormat="false" ht="14.25" hidden="false" customHeight="true" outlineLevel="0" collapsed="false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customFormat="false" ht="14.25" hidden="false" customHeight="true" outlineLevel="0" collapsed="false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customFormat="false" ht="14.25" hidden="false" customHeight="true" outlineLevel="0" collapsed="false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customFormat="false" ht="14.25" hidden="false" customHeight="true" outlineLevel="0" collapsed="false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customFormat="false" ht="14.25" hidden="false" customHeight="true" outlineLevel="0" collapsed="false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customFormat="false" ht="14.25" hidden="false" customHeight="true" outlineLevel="0" collapsed="false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customFormat="false" ht="14.25" hidden="false" customHeight="true" outlineLevel="0" collapsed="false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customFormat="false" ht="14.25" hidden="false" customHeight="true" outlineLevel="0" collapsed="false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customFormat="false" ht="14.25" hidden="false" customHeight="true" outlineLevel="0" collapsed="false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customFormat="false" ht="14.25" hidden="false" customHeight="true" outlineLevel="0" collapsed="false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customFormat="false" ht="14.25" hidden="false" customHeight="true" outlineLevel="0" collapsed="false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customFormat="false" ht="14.25" hidden="false" customHeight="true" outlineLevel="0" collapsed="false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customFormat="false" ht="14.25" hidden="false" customHeight="true" outlineLevel="0" collapsed="false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customFormat="false" ht="14.25" hidden="false" customHeight="true" outlineLevel="0" collapsed="false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customFormat="false" ht="14.25" hidden="false" customHeight="true" outlineLevel="0" collapsed="false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customFormat="false" ht="14.25" hidden="false" customHeight="true" outlineLevel="0" collapsed="false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customFormat="false" ht="14.25" hidden="false" customHeight="true" outlineLevel="0" collapsed="false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customFormat="false" ht="14.25" hidden="false" customHeight="true" outlineLevel="0" collapsed="false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customFormat="false" ht="14.25" hidden="false" customHeight="true" outlineLevel="0" collapsed="false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customFormat="false" ht="14.25" hidden="false" customHeight="true" outlineLevel="0" collapsed="false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customFormat="false" ht="14.25" hidden="false" customHeight="true" outlineLevel="0" collapsed="false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customFormat="false" ht="14.25" hidden="false" customHeight="true" outlineLevel="0" collapsed="false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customFormat="false" ht="14.25" hidden="false" customHeight="true" outlineLevel="0" collapsed="false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customFormat="false" ht="14.25" hidden="false" customHeight="true" outlineLevel="0" collapsed="false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customFormat="false" ht="14.25" hidden="false" customHeight="true" outlineLevel="0" collapsed="false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customFormat="false" ht="14.25" hidden="false" customHeight="true" outlineLevel="0" collapsed="false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customFormat="false" ht="14.25" hidden="false" customHeight="true" outlineLevel="0" collapsed="false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customFormat="false" ht="14.25" hidden="false" customHeight="true" outlineLevel="0" collapsed="false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customFormat="false" ht="14.25" hidden="false" customHeight="true" outlineLevel="0" collapsed="false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customFormat="false" ht="14.25" hidden="false" customHeight="true" outlineLevel="0" collapsed="false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customFormat="false" ht="14.25" hidden="false" customHeight="true" outlineLevel="0" collapsed="false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customFormat="false" ht="14.25" hidden="false" customHeight="true" outlineLevel="0" collapsed="false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customFormat="false" ht="14.25" hidden="false" customHeight="true" outlineLevel="0" collapsed="false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customFormat="false" ht="14.25" hidden="false" customHeight="true" outlineLevel="0" collapsed="false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customFormat="false" ht="14.25" hidden="false" customHeight="true" outlineLevel="0" collapsed="false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customFormat="false" ht="14.25" hidden="false" customHeight="true" outlineLevel="0" collapsed="false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customFormat="false" ht="14.25" hidden="false" customHeight="true" outlineLevel="0" collapsed="false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customFormat="false" ht="14.25" hidden="false" customHeight="true" outlineLevel="0" collapsed="false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customFormat="false" ht="14.25" hidden="false" customHeight="true" outlineLevel="0" collapsed="false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customFormat="false" ht="14.25" hidden="false" customHeight="true" outlineLevel="0" collapsed="false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customFormat="false" ht="14.25" hidden="false" customHeight="true" outlineLevel="0" collapsed="false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customFormat="false" ht="14.25" hidden="false" customHeight="true" outlineLevel="0" collapsed="false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customFormat="false" ht="14.25" hidden="false" customHeight="true" outlineLevel="0" collapsed="false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customFormat="false" ht="14.25" hidden="false" customHeight="true" outlineLevel="0" collapsed="false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customFormat="false" ht="14.25" hidden="false" customHeight="true" outlineLevel="0" collapsed="false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customFormat="false" ht="14.25" hidden="false" customHeight="true" outlineLevel="0" collapsed="false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customFormat="false" ht="14.25" hidden="false" customHeight="true" outlineLevel="0" collapsed="false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customFormat="false" ht="14.25" hidden="false" customHeight="true" outlineLevel="0" collapsed="false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customFormat="false" ht="14.25" hidden="false" customHeight="true" outlineLevel="0" collapsed="false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customFormat="false" ht="14.25" hidden="false" customHeight="true" outlineLevel="0" collapsed="false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customFormat="false" ht="14.25" hidden="false" customHeight="true" outlineLevel="0" collapsed="false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customFormat="false" ht="14.25" hidden="false" customHeight="true" outlineLevel="0" collapsed="false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customFormat="false" ht="14.25" hidden="false" customHeight="true" outlineLevel="0" collapsed="false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customFormat="false" ht="14.25" hidden="false" customHeight="true" outlineLevel="0" collapsed="false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customFormat="false" ht="14.25" hidden="false" customHeight="true" outlineLevel="0" collapsed="false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customFormat="false" ht="14.25" hidden="false" customHeight="true" outlineLevel="0" collapsed="false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customFormat="false" ht="14.25" hidden="false" customHeight="true" outlineLevel="0" collapsed="false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customFormat="false" ht="14.25" hidden="false" customHeight="true" outlineLevel="0" collapsed="false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customFormat="false" ht="14.25" hidden="false" customHeight="true" outlineLevel="0" collapsed="false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customFormat="false" ht="14.25" hidden="false" customHeight="true" outlineLevel="0" collapsed="false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customFormat="false" ht="14.25" hidden="false" customHeight="true" outlineLevel="0" collapsed="false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customFormat="false" ht="14.25" hidden="false" customHeight="true" outlineLevel="0" collapsed="false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customFormat="false" ht="14.25" hidden="false" customHeight="true" outlineLevel="0" collapsed="false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customFormat="false" ht="14.25" hidden="false" customHeight="true" outlineLevel="0" collapsed="false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customFormat="false" ht="14.25" hidden="false" customHeight="true" outlineLevel="0" collapsed="false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customFormat="false" ht="14.25" hidden="false" customHeight="true" outlineLevel="0" collapsed="false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customFormat="false" ht="14.25" hidden="false" customHeight="true" outlineLevel="0" collapsed="false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customFormat="false" ht="14.25" hidden="false" customHeight="true" outlineLevel="0" collapsed="false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customFormat="false" ht="14.25" hidden="false" customHeight="true" outlineLevel="0" collapsed="false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customFormat="false" ht="14.25" hidden="false" customHeight="true" outlineLevel="0" collapsed="false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customFormat="false" ht="14.25" hidden="false" customHeight="true" outlineLevel="0" collapsed="false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customFormat="false" ht="14.25" hidden="false" customHeight="true" outlineLevel="0" collapsed="false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customFormat="false" ht="14.25" hidden="false" customHeight="true" outlineLevel="0" collapsed="false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customFormat="false" ht="14.25" hidden="false" customHeight="true" outlineLevel="0" collapsed="false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customFormat="false" ht="14.25" hidden="false" customHeight="true" outlineLevel="0" collapsed="false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customFormat="false" ht="14.25" hidden="false" customHeight="true" outlineLevel="0" collapsed="false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customFormat="false" ht="14.25" hidden="false" customHeight="true" outlineLevel="0" collapsed="false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customFormat="false" ht="14.25" hidden="false" customHeight="true" outlineLevel="0" collapsed="false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customFormat="false" ht="14.25" hidden="false" customHeight="true" outlineLevel="0" collapsed="false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customFormat="false" ht="14.25" hidden="false" customHeight="true" outlineLevel="0" collapsed="false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customFormat="false" ht="14.25" hidden="false" customHeight="true" outlineLevel="0" collapsed="false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customFormat="false" ht="14.25" hidden="false" customHeight="true" outlineLevel="0" collapsed="false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customFormat="false" ht="14.25" hidden="false" customHeight="true" outlineLevel="0" collapsed="false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customFormat="false" ht="14.25" hidden="false" customHeight="true" outlineLevel="0" collapsed="false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customFormat="false" ht="14.25" hidden="false" customHeight="true" outlineLevel="0" collapsed="false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customFormat="false" ht="14.25" hidden="false" customHeight="true" outlineLevel="0" collapsed="false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customFormat="false" ht="14.25" hidden="false" customHeight="true" outlineLevel="0" collapsed="false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customFormat="false" ht="14.25" hidden="false" customHeight="true" outlineLevel="0" collapsed="false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customFormat="false" ht="14.25" hidden="false" customHeight="true" outlineLevel="0" collapsed="false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customFormat="false" ht="14.25" hidden="false" customHeight="true" outlineLevel="0" collapsed="false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customFormat="false" ht="14.25" hidden="false" customHeight="true" outlineLevel="0" collapsed="false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customFormat="false" ht="14.25" hidden="false" customHeight="true" outlineLevel="0" collapsed="false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customFormat="false" ht="14.25" hidden="false" customHeight="true" outlineLevel="0" collapsed="false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customFormat="false" ht="14.25" hidden="false" customHeight="true" outlineLevel="0" collapsed="false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customFormat="false" ht="14.25" hidden="false" customHeight="true" outlineLevel="0" collapsed="false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customFormat="false" ht="14.25" hidden="false" customHeight="true" outlineLevel="0" collapsed="false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customFormat="false" ht="14.25" hidden="false" customHeight="true" outlineLevel="0" collapsed="false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customFormat="false" ht="14.25" hidden="false" customHeight="true" outlineLevel="0" collapsed="false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customFormat="false" ht="14.25" hidden="false" customHeight="true" outlineLevel="0" collapsed="false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customFormat="false" ht="14.25" hidden="false" customHeight="true" outlineLevel="0" collapsed="false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customFormat="false" ht="14.25" hidden="false" customHeight="true" outlineLevel="0" collapsed="false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customFormat="false" ht="14.25" hidden="false" customHeight="true" outlineLevel="0" collapsed="false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customFormat="false" ht="14.25" hidden="false" customHeight="true" outlineLevel="0" collapsed="false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customFormat="false" ht="14.25" hidden="false" customHeight="true" outlineLevel="0" collapsed="false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customFormat="false" ht="14.25" hidden="false" customHeight="true" outlineLevel="0" collapsed="false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customFormat="false" ht="14.25" hidden="false" customHeight="true" outlineLevel="0" collapsed="false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customFormat="false" ht="14.25" hidden="false" customHeight="true" outlineLevel="0" collapsed="false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customFormat="false" ht="14.25" hidden="false" customHeight="true" outlineLevel="0" collapsed="false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customFormat="false" ht="14.25" hidden="false" customHeight="true" outlineLevel="0" collapsed="false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customFormat="false" ht="14.25" hidden="false" customHeight="true" outlineLevel="0" collapsed="false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customFormat="false" ht="14.25" hidden="false" customHeight="true" outlineLevel="0" collapsed="false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customFormat="false" ht="14.25" hidden="false" customHeight="true" outlineLevel="0" collapsed="false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customFormat="false" ht="14.25" hidden="false" customHeight="true" outlineLevel="0" collapsed="false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customFormat="false" ht="14.25" hidden="false" customHeight="true" outlineLevel="0" collapsed="false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customFormat="false" ht="14.25" hidden="false" customHeight="true" outlineLevel="0" collapsed="false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customFormat="false" ht="14.25" hidden="false" customHeight="true" outlineLevel="0" collapsed="false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customFormat="false" ht="14.25" hidden="false" customHeight="true" outlineLevel="0" collapsed="false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customFormat="false" ht="14.25" hidden="false" customHeight="true" outlineLevel="0" collapsed="false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customFormat="false" ht="14.25" hidden="false" customHeight="true" outlineLevel="0" collapsed="false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customFormat="false" ht="14.25" hidden="false" customHeight="true" outlineLevel="0" collapsed="false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customFormat="false" ht="14.25" hidden="false" customHeight="true" outlineLevel="0" collapsed="false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customFormat="false" ht="14.25" hidden="false" customHeight="true" outlineLevel="0" collapsed="false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customFormat="false" ht="14.25" hidden="false" customHeight="true" outlineLevel="0" collapsed="false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customFormat="false" ht="14.25" hidden="false" customHeight="true" outlineLevel="0" collapsed="false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customFormat="false" ht="14.25" hidden="false" customHeight="true" outlineLevel="0" collapsed="false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customFormat="false" ht="14.25" hidden="false" customHeight="true" outlineLevel="0" collapsed="false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customFormat="false" ht="14.25" hidden="false" customHeight="true" outlineLevel="0" collapsed="false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customFormat="false" ht="14.25" hidden="false" customHeight="true" outlineLevel="0" collapsed="false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customFormat="false" ht="14.25" hidden="false" customHeight="true" outlineLevel="0" collapsed="false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customFormat="false" ht="14.25" hidden="false" customHeight="true" outlineLevel="0" collapsed="false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customFormat="false" ht="14.25" hidden="false" customHeight="true" outlineLevel="0" collapsed="false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customFormat="false" ht="14.25" hidden="false" customHeight="true" outlineLevel="0" collapsed="false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customFormat="false" ht="14.25" hidden="false" customHeight="true" outlineLevel="0" collapsed="false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customFormat="false" ht="14.25" hidden="false" customHeight="true" outlineLevel="0" collapsed="false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customFormat="false" ht="14.25" hidden="false" customHeight="true" outlineLevel="0" collapsed="false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customFormat="false" ht="14.25" hidden="false" customHeight="true" outlineLevel="0" collapsed="false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customFormat="false" ht="14.25" hidden="false" customHeight="true" outlineLevel="0" collapsed="false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customFormat="false" ht="14.25" hidden="false" customHeight="true" outlineLevel="0" collapsed="false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customFormat="false" ht="14.25" hidden="false" customHeight="true" outlineLevel="0" collapsed="false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customFormat="false" ht="14.25" hidden="false" customHeight="true" outlineLevel="0" collapsed="false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customFormat="false" ht="14.25" hidden="false" customHeight="true" outlineLevel="0" collapsed="false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customFormat="false" ht="14.25" hidden="false" customHeight="true" outlineLevel="0" collapsed="false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customFormat="false" ht="14.25" hidden="false" customHeight="true" outlineLevel="0" collapsed="false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customFormat="false" ht="14.25" hidden="false" customHeight="true" outlineLevel="0" collapsed="false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customFormat="false" ht="14.25" hidden="false" customHeight="true" outlineLevel="0" collapsed="false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customFormat="false" ht="14.25" hidden="false" customHeight="true" outlineLevel="0" collapsed="false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customFormat="false" ht="14.25" hidden="false" customHeight="true" outlineLevel="0" collapsed="false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customFormat="false" ht="14.25" hidden="false" customHeight="true" outlineLevel="0" collapsed="false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customFormat="false" ht="14.25" hidden="false" customHeight="true" outlineLevel="0" collapsed="false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customFormat="false" ht="14.25" hidden="false" customHeight="true" outlineLevel="0" collapsed="false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customFormat="false" ht="14.25" hidden="false" customHeight="true" outlineLevel="0" collapsed="false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customFormat="false" ht="14.25" hidden="false" customHeight="true" outlineLevel="0" collapsed="false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customFormat="false" ht="14.25" hidden="false" customHeight="true" outlineLevel="0" collapsed="false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customFormat="false" ht="14.25" hidden="false" customHeight="true" outlineLevel="0" collapsed="false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customFormat="false" ht="14.25" hidden="false" customHeight="true" outlineLevel="0" collapsed="false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customFormat="false" ht="14.25" hidden="false" customHeight="true" outlineLevel="0" collapsed="false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customFormat="false" ht="14.25" hidden="false" customHeight="true" outlineLevel="0" collapsed="false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customFormat="false" ht="14.25" hidden="false" customHeight="true" outlineLevel="0" collapsed="false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customFormat="false" ht="14.25" hidden="false" customHeight="true" outlineLevel="0" collapsed="false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customFormat="false" ht="14.25" hidden="false" customHeight="true" outlineLevel="0" collapsed="false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customFormat="false" ht="14.25" hidden="false" customHeight="true" outlineLevel="0" collapsed="false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customFormat="false" ht="14.25" hidden="false" customHeight="true" outlineLevel="0" collapsed="false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customFormat="false" ht="14.25" hidden="false" customHeight="true" outlineLevel="0" collapsed="false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customFormat="false" ht="14.25" hidden="false" customHeight="true" outlineLevel="0" collapsed="false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customFormat="false" ht="14.25" hidden="false" customHeight="true" outlineLevel="0" collapsed="false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customFormat="false" ht="14.25" hidden="false" customHeight="true" outlineLevel="0" collapsed="false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customFormat="false" ht="14.25" hidden="false" customHeight="true" outlineLevel="0" collapsed="false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customFormat="false" ht="14.25" hidden="false" customHeight="true" outlineLevel="0" collapsed="false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customFormat="false" ht="14.25" hidden="false" customHeight="true" outlineLevel="0" collapsed="false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customFormat="false" ht="14.25" hidden="false" customHeight="true" outlineLevel="0" collapsed="false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customFormat="false" ht="14.25" hidden="false" customHeight="true" outlineLevel="0" collapsed="false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customFormat="false" ht="14.25" hidden="false" customHeight="true" outlineLevel="0" collapsed="false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customFormat="false" ht="14.25" hidden="false" customHeight="true" outlineLevel="0" collapsed="false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customFormat="false" ht="14.25" hidden="false" customHeight="true" outlineLevel="0" collapsed="false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customFormat="false" ht="14.25" hidden="false" customHeight="true" outlineLevel="0" collapsed="false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customFormat="false" ht="14.25" hidden="false" customHeight="true" outlineLevel="0" collapsed="false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customFormat="false" ht="14.25" hidden="false" customHeight="true" outlineLevel="0" collapsed="false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customFormat="false" ht="14.25" hidden="false" customHeight="true" outlineLevel="0" collapsed="false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customFormat="false" ht="14.25" hidden="false" customHeight="true" outlineLevel="0" collapsed="false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customFormat="false" ht="14.25" hidden="false" customHeight="true" outlineLevel="0" collapsed="false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customFormat="false" ht="14.25" hidden="false" customHeight="true" outlineLevel="0" collapsed="false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customFormat="false" ht="14.25" hidden="false" customHeight="true" outlineLevel="0" collapsed="false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customFormat="false" ht="14.25" hidden="false" customHeight="true" outlineLevel="0" collapsed="false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customFormat="false" ht="14.25" hidden="false" customHeight="true" outlineLevel="0" collapsed="false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customFormat="false" ht="14.25" hidden="false" customHeight="true" outlineLevel="0" collapsed="false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customFormat="false" ht="14.25" hidden="false" customHeight="true" outlineLevel="0" collapsed="false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customFormat="false" ht="14.25" hidden="false" customHeight="true" outlineLevel="0" collapsed="false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customFormat="false" ht="14.25" hidden="false" customHeight="true" outlineLevel="0" collapsed="false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customFormat="false" ht="14.25" hidden="false" customHeight="true" outlineLevel="0" collapsed="false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customFormat="false" ht="14.25" hidden="false" customHeight="true" outlineLevel="0" collapsed="false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customFormat="false" ht="14.25" hidden="false" customHeight="true" outlineLevel="0" collapsed="false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customFormat="false" ht="14.25" hidden="false" customHeight="true" outlineLevel="0" collapsed="false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customFormat="false" ht="14.25" hidden="false" customHeight="true" outlineLevel="0" collapsed="false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customFormat="false" ht="14.25" hidden="false" customHeight="true" outlineLevel="0" collapsed="false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customFormat="false" ht="14.25" hidden="false" customHeight="true" outlineLevel="0" collapsed="false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customFormat="false" ht="14.25" hidden="false" customHeight="true" outlineLevel="0" collapsed="false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customFormat="false" ht="14.25" hidden="false" customHeight="true" outlineLevel="0" collapsed="false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customFormat="false" ht="14.25" hidden="false" customHeight="true" outlineLevel="0" collapsed="false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customFormat="false" ht="14.25" hidden="false" customHeight="true" outlineLevel="0" collapsed="false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customFormat="false" ht="14.25" hidden="false" customHeight="true" outlineLevel="0" collapsed="false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customFormat="false" ht="14.25" hidden="false" customHeight="true" outlineLevel="0" collapsed="false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customFormat="false" ht="14.25" hidden="false" customHeight="true" outlineLevel="0" collapsed="false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customFormat="false" ht="14.25" hidden="false" customHeight="true" outlineLevel="0" collapsed="false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customFormat="false" ht="14.25" hidden="false" customHeight="true" outlineLevel="0" collapsed="false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customFormat="false" ht="14.25" hidden="false" customHeight="true" outlineLevel="0" collapsed="false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customFormat="false" ht="14.25" hidden="false" customHeight="true" outlineLevel="0" collapsed="false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customFormat="false" ht="14.25" hidden="false" customHeight="true" outlineLevel="0" collapsed="false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customFormat="false" ht="14.25" hidden="false" customHeight="true" outlineLevel="0" collapsed="false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customFormat="false" ht="14.25" hidden="false" customHeight="true" outlineLevel="0" collapsed="false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customFormat="false" ht="14.25" hidden="false" customHeight="true" outlineLevel="0" collapsed="false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customFormat="false" ht="14.25" hidden="false" customHeight="true" outlineLevel="0" collapsed="false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customFormat="false" ht="14.25" hidden="false" customHeight="true" outlineLevel="0" collapsed="false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customFormat="false" ht="14.25" hidden="false" customHeight="true" outlineLevel="0" collapsed="false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customFormat="false" ht="14.25" hidden="false" customHeight="true" outlineLevel="0" collapsed="false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customFormat="false" ht="14.25" hidden="false" customHeight="true" outlineLevel="0" collapsed="false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customFormat="false" ht="14.25" hidden="false" customHeight="true" outlineLevel="0" collapsed="false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customFormat="false" ht="14.25" hidden="false" customHeight="true" outlineLevel="0" collapsed="false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customFormat="false" ht="14.25" hidden="false" customHeight="true" outlineLevel="0" collapsed="false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customFormat="false" ht="14.25" hidden="false" customHeight="true" outlineLevel="0" collapsed="false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customFormat="false" ht="14.25" hidden="false" customHeight="true" outlineLevel="0" collapsed="false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customFormat="false" ht="14.25" hidden="false" customHeight="true" outlineLevel="0" collapsed="false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customFormat="false" ht="14.25" hidden="false" customHeight="true" outlineLevel="0" collapsed="false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customFormat="false" ht="14.25" hidden="false" customHeight="true" outlineLevel="0" collapsed="false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customFormat="false" ht="14.25" hidden="false" customHeight="true" outlineLevel="0" collapsed="false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customFormat="false" ht="14.25" hidden="false" customHeight="true" outlineLevel="0" collapsed="false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customFormat="false" ht="14.25" hidden="false" customHeight="true" outlineLevel="0" collapsed="false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customFormat="false" ht="14.25" hidden="false" customHeight="true" outlineLevel="0" collapsed="false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customFormat="false" ht="14.25" hidden="false" customHeight="true" outlineLevel="0" collapsed="false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customFormat="false" ht="14.25" hidden="false" customHeight="true" outlineLevel="0" collapsed="false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customFormat="false" ht="14.25" hidden="false" customHeight="true" outlineLevel="0" collapsed="false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customFormat="false" ht="14.25" hidden="false" customHeight="true" outlineLevel="0" collapsed="false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customFormat="false" ht="14.25" hidden="false" customHeight="true" outlineLevel="0" collapsed="false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customFormat="false" ht="14.25" hidden="false" customHeight="true" outlineLevel="0" collapsed="false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customFormat="false" ht="14.25" hidden="false" customHeight="true" outlineLevel="0" collapsed="false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customFormat="false" ht="14.25" hidden="false" customHeight="true" outlineLevel="0" collapsed="false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customFormat="false" ht="14.25" hidden="false" customHeight="true" outlineLevel="0" collapsed="false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customFormat="false" ht="14.25" hidden="false" customHeight="true" outlineLevel="0" collapsed="false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customFormat="false" ht="14.25" hidden="false" customHeight="true" outlineLevel="0" collapsed="false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customFormat="false" ht="14.25" hidden="false" customHeight="true" outlineLevel="0" collapsed="false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customFormat="false" ht="14.25" hidden="false" customHeight="true" outlineLevel="0" collapsed="false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customFormat="false" ht="14.25" hidden="false" customHeight="true" outlineLevel="0" collapsed="false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customFormat="false" ht="14.25" hidden="false" customHeight="true" outlineLevel="0" collapsed="false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customFormat="false" ht="14.25" hidden="false" customHeight="true" outlineLevel="0" collapsed="false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customFormat="false" ht="14.25" hidden="false" customHeight="true" outlineLevel="0" collapsed="false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customFormat="false" ht="14.25" hidden="false" customHeight="true" outlineLevel="0" collapsed="false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customFormat="false" ht="14.25" hidden="false" customHeight="true" outlineLevel="0" collapsed="false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customFormat="false" ht="14.25" hidden="false" customHeight="true" outlineLevel="0" collapsed="false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customFormat="false" ht="14.25" hidden="false" customHeight="true" outlineLevel="0" collapsed="false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customFormat="false" ht="14.25" hidden="false" customHeight="true" outlineLevel="0" collapsed="false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customFormat="false" ht="14.25" hidden="false" customHeight="true" outlineLevel="0" collapsed="false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customFormat="false" ht="14.25" hidden="false" customHeight="true" outlineLevel="0" collapsed="false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customFormat="false" ht="14.25" hidden="false" customHeight="true" outlineLevel="0" collapsed="false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customFormat="false" ht="14.25" hidden="false" customHeight="true" outlineLevel="0" collapsed="false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customFormat="false" ht="14.25" hidden="false" customHeight="true" outlineLevel="0" collapsed="false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customFormat="false" ht="14.25" hidden="false" customHeight="true" outlineLevel="0" collapsed="false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customFormat="false" ht="14.25" hidden="false" customHeight="true" outlineLevel="0" collapsed="false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customFormat="false" ht="14.25" hidden="false" customHeight="true" outlineLevel="0" collapsed="false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customFormat="false" ht="14.25" hidden="false" customHeight="true" outlineLevel="0" collapsed="false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customFormat="false" ht="14.25" hidden="false" customHeight="true" outlineLevel="0" collapsed="false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customFormat="false" ht="14.25" hidden="false" customHeight="true" outlineLevel="0" collapsed="false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customFormat="false" ht="14.25" hidden="false" customHeight="true" outlineLevel="0" collapsed="false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customFormat="false" ht="14.25" hidden="false" customHeight="true" outlineLevel="0" collapsed="false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customFormat="false" ht="14.25" hidden="false" customHeight="true" outlineLevel="0" collapsed="false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customFormat="false" ht="14.25" hidden="false" customHeight="true" outlineLevel="0" collapsed="false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customFormat="false" ht="14.25" hidden="false" customHeight="true" outlineLevel="0" collapsed="false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customFormat="false" ht="14.25" hidden="false" customHeight="true" outlineLevel="0" collapsed="false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customFormat="false" ht="14.25" hidden="false" customHeight="true" outlineLevel="0" collapsed="false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customFormat="false" ht="14.25" hidden="false" customHeight="true" outlineLevel="0" collapsed="false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customFormat="false" ht="14.25" hidden="false" customHeight="true" outlineLevel="0" collapsed="false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customFormat="false" ht="14.25" hidden="false" customHeight="true" outlineLevel="0" collapsed="false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customFormat="false" ht="14.25" hidden="false" customHeight="true" outlineLevel="0" collapsed="false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customFormat="false" ht="14.25" hidden="false" customHeight="true" outlineLevel="0" collapsed="false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customFormat="false" ht="14.25" hidden="false" customHeight="true" outlineLevel="0" collapsed="false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customFormat="false" ht="14.25" hidden="false" customHeight="true" outlineLevel="0" collapsed="false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customFormat="false" ht="14.25" hidden="false" customHeight="true" outlineLevel="0" collapsed="false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customFormat="false" ht="14.25" hidden="false" customHeight="true" outlineLevel="0" collapsed="false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</row>
    <row r="971" customFormat="false" ht="14.25" hidden="false" customHeight="true" outlineLevel="0" collapsed="false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</row>
    <row r="972" customFormat="false" ht="14.25" hidden="false" customHeight="true" outlineLevel="0" collapsed="false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</row>
    <row r="973" customFormat="false" ht="14.25" hidden="false" customHeight="true" outlineLevel="0" collapsed="false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</row>
    <row r="974" customFormat="false" ht="14.25" hidden="false" customHeight="true" outlineLevel="0" collapsed="false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</row>
    <row r="975" customFormat="false" ht="14.25" hidden="false" customHeight="true" outlineLevel="0" collapsed="false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</row>
    <row r="976" customFormat="false" ht="14.25" hidden="false" customHeight="true" outlineLevel="0" collapsed="false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</row>
    <row r="977" customFormat="false" ht="14.25" hidden="false" customHeight="true" outlineLevel="0" collapsed="false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</row>
    <row r="978" customFormat="false" ht="14.25" hidden="false" customHeight="true" outlineLevel="0" collapsed="false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</row>
    <row r="979" customFormat="false" ht="14.25" hidden="false" customHeight="true" outlineLevel="0" collapsed="false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</row>
    <row r="980" customFormat="false" ht="14.25" hidden="false" customHeight="true" outlineLevel="0" collapsed="false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</row>
    <row r="981" customFormat="false" ht="14.25" hidden="false" customHeight="true" outlineLevel="0" collapsed="false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</row>
    <row r="982" customFormat="false" ht="14.25" hidden="false" customHeight="true" outlineLevel="0" collapsed="false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</row>
    <row r="983" customFormat="false" ht="14.25" hidden="false" customHeight="true" outlineLevel="0" collapsed="false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</row>
    <row r="984" customFormat="false" ht="14.25" hidden="false" customHeight="true" outlineLevel="0" collapsed="false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</row>
    <row r="985" customFormat="false" ht="14.25" hidden="false" customHeight="true" outlineLevel="0" collapsed="false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</row>
    <row r="986" customFormat="false" ht="14.25" hidden="false" customHeight="true" outlineLevel="0" collapsed="false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</row>
    <row r="987" customFormat="false" ht="14.25" hidden="false" customHeight="true" outlineLevel="0" collapsed="false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</row>
    <row r="988" customFormat="false" ht="14.25" hidden="false" customHeight="true" outlineLevel="0" collapsed="false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</row>
    <row r="989" customFormat="false" ht="14.25" hidden="false" customHeight="true" outlineLevel="0" collapsed="false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</row>
    <row r="990" customFormat="false" ht="14.25" hidden="false" customHeight="true" outlineLevel="0" collapsed="false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</row>
    <row r="991" customFormat="false" ht="14.25" hidden="false" customHeight="true" outlineLevel="0" collapsed="false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</row>
    <row r="992" customFormat="false" ht="14.25" hidden="false" customHeight="true" outlineLevel="0" collapsed="false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</row>
    <row r="993" customFormat="false" ht="14.25" hidden="false" customHeight="true" outlineLevel="0" collapsed="false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</row>
    <row r="994" customFormat="false" ht="14.25" hidden="false" customHeight="true" outlineLevel="0" collapsed="false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</row>
    <row r="995" customFormat="false" ht="14.25" hidden="false" customHeight="true" outlineLevel="0" collapsed="false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</row>
    <row r="996" customFormat="false" ht="14.25" hidden="false" customHeight="true" outlineLevel="0" collapsed="false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</row>
    <row r="997" customFormat="false" ht="14.25" hidden="false" customHeight="true" outlineLevel="0" collapsed="false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</row>
    <row r="998" customFormat="false" ht="14.25" hidden="false" customHeight="true" outlineLevel="0" collapsed="false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</row>
    <row r="999" customFormat="false" ht="14.25" hidden="false" customHeight="true" outlineLevel="0" collapsed="false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</row>
    <row r="1000" customFormat="false" ht="14.25" hidden="false" customHeight="true" outlineLevel="0" collapsed="false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</row>
  </sheetData>
  <mergeCells count="47">
    <mergeCell ref="A2:I2"/>
    <mergeCell ref="A3:I3"/>
    <mergeCell ref="A4:I4"/>
    <mergeCell ref="A5:I5"/>
    <mergeCell ref="A6:I6"/>
    <mergeCell ref="A9:I9"/>
    <mergeCell ref="B13:H13"/>
    <mergeCell ref="B16:H16"/>
    <mergeCell ref="B18:G18"/>
    <mergeCell ref="B19:G19"/>
    <mergeCell ref="K20:M21"/>
    <mergeCell ref="N20:N21"/>
    <mergeCell ref="O20:O21"/>
    <mergeCell ref="P20:P21"/>
    <mergeCell ref="B21:F21"/>
    <mergeCell ref="K22:M22"/>
    <mergeCell ref="K23:M23"/>
    <mergeCell ref="K24:M24"/>
    <mergeCell ref="K25:M25"/>
    <mergeCell ref="K26:M26"/>
    <mergeCell ref="K27:M27"/>
    <mergeCell ref="K28:M28"/>
    <mergeCell ref="K29:M29"/>
    <mergeCell ref="B34:B35"/>
    <mergeCell ref="C34:C35"/>
    <mergeCell ref="E34:E35"/>
    <mergeCell ref="F34:F35"/>
    <mergeCell ref="G34:H35"/>
    <mergeCell ref="K34:M35"/>
    <mergeCell ref="N34:N35"/>
    <mergeCell ref="O34:O35"/>
    <mergeCell ref="P34:P35"/>
    <mergeCell ref="C37:H37"/>
    <mergeCell ref="B40:H44"/>
    <mergeCell ref="B48:H48"/>
    <mergeCell ref="D53:F53"/>
    <mergeCell ref="D54:F54"/>
    <mergeCell ref="D55:F55"/>
    <mergeCell ref="K60:M60"/>
    <mergeCell ref="N60:P60"/>
    <mergeCell ref="Q60:S60"/>
    <mergeCell ref="T60:V60"/>
    <mergeCell ref="W60:Y60"/>
    <mergeCell ref="Z60:AB60"/>
    <mergeCell ref="AC60:AE60"/>
    <mergeCell ref="AF60:AH60"/>
    <mergeCell ref="AI60:AK60"/>
  </mergeCells>
  <conditionalFormatting sqref="K30:M30">
    <cfRule type="expression" priority="2" aboveAverage="0" equalAverage="0" bottom="0" percent="0" rank="0" text="" dxfId="0">
      <formula>AND(K30&lt;&gt;"OK",K30&lt;&gt;"-",K30&lt;&gt;"")</formula>
    </cfRule>
  </conditionalFormatting>
  <conditionalFormatting sqref="K30:M30">
    <cfRule type="cellIs" priority="3" operator="equal" aboveAverage="0" equalAverage="0" bottom="0" percent="0" rank="0" text="" dxfId="1">
      <formula>"OK"</formula>
    </cfRule>
  </conditionalFormatting>
  <conditionalFormatting sqref="K22:M29 K34:M34">
    <cfRule type="expression" priority="4" aboveAverage="0" equalAverage="0" bottom="0" percent="0" rank="0" text="" dxfId="2">
      <formula>AND(K22&lt;&gt;"OK",K22&lt;&gt;"-",K22&lt;&gt;"")</formula>
    </cfRule>
  </conditionalFormatting>
  <conditionalFormatting sqref="K22:M29 K34:M34">
    <cfRule type="cellIs" priority="5" operator="equal" aboveAverage="0" equalAverage="0" bottom="0" percent="0" rank="0" text="" dxfId="3">
      <formula>"OK"</formula>
    </cfRule>
  </conditionalFormatting>
  <dataValidations count="2">
    <dataValidation allowBlank="true" operator="between" showDropDown="false" showErrorMessage="true" showInputMessage="false" sqref="B13" type="list">
      <formula1>"(Selecionar),Construção e reforma de edifícios,Construção de praças urbanas,rodovias,ferrovias,recapeamento e pavimentação de vias urbanas,Construção de redes de abastecimento de água,coleta de esgoto,Construção e manutenção de estações e redes de dis"</formula1>
      <formula2>0</formula2>
    </dataValidation>
    <dataValidation allowBlank="true" operator="between" showDropDown="false" showErrorMessage="true" showInputMessage="false" sqref="B16" type="list">
      <formula1>"Desonerado,Não Desonerado"</formula1>
      <formula2>0</formula2>
    </dataValidation>
  </dataValidations>
  <printOptions headings="false" gridLines="false" gridLinesSet="true" horizontalCentered="false" verticalCentered="false"/>
  <pageMargins left="1.18125" right="0.78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EE6EF"/>
    <pageSetUpPr fitToPage="tru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40625" defaultRowHeight="15" zeroHeight="false" outlineLevelRow="0" outlineLevelCol="0"/>
  <cols>
    <col collapsed="false" customWidth="true" hidden="false" outlineLevel="0" max="1" min="1" style="0" width="15.75"/>
    <col collapsed="false" customWidth="true" hidden="false" outlineLevel="0" max="2" min="2" style="0" width="13.88"/>
    <col collapsed="false" customWidth="true" hidden="false" outlineLevel="0" max="3" min="3" style="0" width="15.88"/>
    <col collapsed="false" customWidth="true" hidden="false" outlineLevel="0" max="4" min="4" style="0" width="65.24"/>
    <col collapsed="false" customWidth="true" hidden="false" outlineLevel="0" max="5" min="5" style="0" width="9.74"/>
    <col collapsed="false" customWidth="true" hidden="false" outlineLevel="0" max="6" min="6" style="0" width="14.5"/>
    <col collapsed="false" customWidth="true" hidden="false" outlineLevel="0" max="7" min="7" style="0" width="17.38"/>
    <col collapsed="false" customWidth="true" hidden="false" outlineLevel="0" max="8" min="8" style="0" width="17.74"/>
    <col collapsed="false" customWidth="true" hidden="false" outlineLevel="0" max="9" min="9" style="0" width="19.5"/>
    <col collapsed="false" customWidth="true" hidden="false" outlineLevel="0" max="10" min="10" style="0" width="22.38"/>
    <col collapsed="false" customWidth="true" hidden="false" outlineLevel="0" max="11" min="11" style="0" width="22.75"/>
    <col collapsed="false" customWidth="true" hidden="false" outlineLevel="0" max="13" min="12" style="0" width="18.74"/>
    <col collapsed="false" customWidth="true" hidden="false" outlineLevel="0" max="26" min="14" style="0" width="11.5"/>
  </cols>
  <sheetData>
    <row r="1" customFormat="false" ht="14.25" hidden="false" customHeight="true" outlineLevel="0" collapsed="false">
      <c r="A1" s="1"/>
      <c r="B1" s="1"/>
      <c r="C1" s="1"/>
      <c r="D1" s="203"/>
      <c r="E1" s="117"/>
      <c r="F1" s="207"/>
      <c r="G1" s="208"/>
      <c r="H1" s="208"/>
      <c r="I1" s="209"/>
      <c r="J1" s="209"/>
      <c r="K1" s="209"/>
      <c r="L1" s="209"/>
      <c r="M1" s="209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customFormat="false" ht="14.25" hidden="false" customHeight="true" outlineLevel="0" collapsed="false">
      <c r="A2" s="150" t="s">
        <v>321</v>
      </c>
      <c r="B2" s="1"/>
      <c r="C2" s="1"/>
      <c r="D2" s="203"/>
      <c r="E2" s="117"/>
      <c r="F2" s="207"/>
      <c r="G2" s="208"/>
      <c r="H2" s="208"/>
      <c r="I2" s="209"/>
      <c r="J2" s="209"/>
      <c r="K2" s="209"/>
      <c r="L2" s="209"/>
      <c r="M2" s="209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4.25" hidden="false" customHeight="true" outlineLevel="0" collapsed="false">
      <c r="A3" s="1" t="s">
        <v>322</v>
      </c>
      <c r="B3" s="210" t="str">
        <f aca="false">FOLHA_ROSTO!$B$6</f>
        <v>COMPLEMENTAÇÃO DOS ESTACIONAMENTOS ACESSÍVEIS</v>
      </c>
      <c r="C3" s="210"/>
      <c r="D3" s="210"/>
      <c r="E3" s="117"/>
      <c r="F3" s="207"/>
      <c r="G3" s="208"/>
      <c r="H3" s="208"/>
      <c r="I3" s="209"/>
      <c r="J3" s="209"/>
      <c r="K3" s="209"/>
      <c r="L3" s="209"/>
      <c r="M3" s="209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customFormat="false" ht="14.25" hidden="false" customHeight="true" outlineLevel="0" collapsed="false">
      <c r="A4" s="1" t="s">
        <v>323</v>
      </c>
      <c r="B4" s="210" t="str">
        <f aca="false">FOLHA_ROSTO!$C$51</f>
        <v>Wellington Tischer</v>
      </c>
      <c r="C4" s="210"/>
      <c r="D4" s="210"/>
      <c r="E4" s="117"/>
      <c r="F4" s="207"/>
      <c r="G4" s="208"/>
      <c r="H4" s="208"/>
      <c r="I4" s="209"/>
      <c r="J4" s="209"/>
      <c r="K4" s="209"/>
      <c r="L4" s="209"/>
      <c r="M4" s="209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customFormat="false" ht="14.25" hidden="false" customHeight="true" outlineLevel="0" collapsed="false">
      <c r="A5" s="1" t="s">
        <v>324</v>
      </c>
      <c r="B5" s="211" t="s">
        <v>325</v>
      </c>
      <c r="C5" s="211"/>
      <c r="D5" s="211"/>
      <c r="E5" s="117"/>
      <c r="F5" s="207"/>
      <c r="G5" s="208"/>
      <c r="H5" s="208"/>
      <c r="I5" s="209"/>
      <c r="J5" s="209"/>
      <c r="K5" s="209"/>
      <c r="L5" s="209"/>
      <c r="M5" s="20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customFormat="false" ht="14.25" hidden="false" customHeight="true" outlineLevel="0" collapsed="false">
      <c r="A6" s="1" t="s">
        <v>326</v>
      </c>
      <c r="B6" s="1" t="s">
        <v>327</v>
      </c>
      <c r="C6" s="1"/>
      <c r="D6" s="203"/>
      <c r="E6" s="117"/>
      <c r="F6" s="207"/>
      <c r="G6" s="208"/>
      <c r="H6" s="208"/>
      <c r="I6" s="209"/>
      <c r="J6" s="209"/>
      <c r="K6" s="209"/>
      <c r="L6" s="209"/>
      <c r="M6" s="209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customFormat="false" ht="14.25" hidden="false" customHeight="true" outlineLevel="0" collapsed="false">
      <c r="A7" s="1"/>
      <c r="B7" s="1"/>
      <c r="C7" s="1"/>
      <c r="D7" s="203"/>
      <c r="E7" s="117"/>
      <c r="F7" s="207"/>
      <c r="G7" s="208"/>
      <c r="H7" s="208"/>
      <c r="I7" s="209"/>
      <c r="J7" s="209"/>
      <c r="K7" s="209"/>
      <c r="L7" s="209"/>
      <c r="M7" s="209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customFormat="false" ht="14.25" hidden="false" customHeight="true" outlineLevel="0" collapsed="false">
      <c r="A8" s="212" t="s">
        <v>328</v>
      </c>
      <c r="B8" s="212" t="s">
        <v>32</v>
      </c>
      <c r="C8" s="212" t="s">
        <v>329</v>
      </c>
      <c r="D8" s="213" t="s">
        <v>330</v>
      </c>
      <c r="E8" s="214" t="s">
        <v>331</v>
      </c>
      <c r="F8" s="214" t="s">
        <v>332</v>
      </c>
      <c r="G8" s="214" t="s">
        <v>333</v>
      </c>
      <c r="H8" s="214" t="s">
        <v>334</v>
      </c>
      <c r="I8" s="215" t="s">
        <v>335</v>
      </c>
      <c r="J8" s="215" t="s">
        <v>336</v>
      </c>
      <c r="K8" s="215" t="s">
        <v>337</v>
      </c>
      <c r="L8" s="216" t="s">
        <v>338</v>
      </c>
      <c r="M8" s="216" t="s">
        <v>339</v>
      </c>
      <c r="N8" s="121"/>
      <c r="O8" s="121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</row>
    <row r="9" customFormat="false" ht="14.25" hidden="false" customHeight="true" outlineLevel="0" collapsed="false">
      <c r="A9" s="217"/>
      <c r="B9" s="217"/>
      <c r="C9" s="217"/>
      <c r="D9" s="218"/>
      <c r="E9" s="219"/>
      <c r="F9" s="220"/>
      <c r="G9" s="221"/>
      <c r="H9" s="221"/>
      <c r="I9" s="222"/>
      <c r="J9" s="222"/>
      <c r="K9" s="222"/>
      <c r="L9" s="222"/>
      <c r="M9" s="22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customFormat="false" ht="14.25" hidden="false" customHeight="true" outlineLevel="0" collapsed="false">
      <c r="A10" s="223" t="s">
        <v>340</v>
      </c>
      <c r="B10" s="160" t="s">
        <v>69</v>
      </c>
      <c r="C10" s="160"/>
      <c r="D10" s="224" t="s">
        <v>91</v>
      </c>
      <c r="E10" s="159" t="s">
        <v>85</v>
      </c>
      <c r="F10" s="225"/>
      <c r="G10" s="226"/>
      <c r="H10" s="226" t="n">
        <f aca="false">SUM($I$10:$M$10)</f>
        <v>1.46</v>
      </c>
      <c r="I10" s="227" t="n">
        <f aca="false">ROUND((1-ORCAMENTO!$O$10)*0.32,2)</f>
        <v>0.32</v>
      </c>
      <c r="J10" s="227" t="n">
        <f aca="false">ROUND((1-ORCAMENTO!$O$10)*0.41,2)</f>
        <v>0.41</v>
      </c>
      <c r="K10" s="227" t="n">
        <f aca="false">ROUND((1-ORCAMENTO!$O$10)*0.73,2)</f>
        <v>0.73</v>
      </c>
      <c r="L10" s="227" t="n">
        <f aca="false">ROUND((1-ORCAMENTO!$O$10)*0,2)</f>
        <v>0</v>
      </c>
      <c r="M10" s="227" t="n">
        <f aca="false">ROUND((1-ORCAMENTO!$O$10)*0,2)</f>
        <v>0</v>
      </c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</row>
    <row r="11" customFormat="false" ht="14.25" hidden="false" customHeight="true" outlineLevel="0" collapsed="false">
      <c r="A11" s="217" t="s">
        <v>341</v>
      </c>
      <c r="B11" s="217" t="s">
        <v>69</v>
      </c>
      <c r="C11" s="228" t="s">
        <v>342</v>
      </c>
      <c r="D11" s="218" t="s">
        <v>343</v>
      </c>
      <c r="E11" s="219" t="s">
        <v>344</v>
      </c>
      <c r="F11" s="220" t="n">
        <v>0.003</v>
      </c>
      <c r="G11" s="221" t="n">
        <f aca="false">ROUND((1-ORCAMENTO!$O$10)*240.21,2)</f>
        <v>240.21</v>
      </c>
      <c r="H11" s="221" t="n">
        <f aca="false">(1-ORCAMENTO!$O$10)*0.72</f>
        <v>0.72</v>
      </c>
      <c r="I11" s="222" t="n">
        <f aca="false">(1-ORCAMENTO!$O$10)*0.2457</f>
        <v>0.2457</v>
      </c>
      <c r="J11" s="222" t="n">
        <f aca="false">(1-ORCAMENTO!$O$10)*0.08424</f>
        <v>0.08424</v>
      </c>
      <c r="K11" s="222" t="n">
        <f aca="false">(1-ORCAMENTO!$O$10)*0.39069</f>
        <v>0.39069</v>
      </c>
      <c r="L11" s="222" t="n">
        <f aca="false">(1-ORCAMENTO!$O$10)*0</f>
        <v>0</v>
      </c>
      <c r="M11" s="222" t="n">
        <f aca="false">(1-ORCAMENTO!$O$10)*0</f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customFormat="false" ht="14.25" hidden="false" customHeight="true" outlineLevel="0" collapsed="false">
      <c r="A12" s="228" t="s">
        <v>341</v>
      </c>
      <c r="B12" s="217" t="s">
        <v>69</v>
      </c>
      <c r="C12" s="228" t="s">
        <v>345</v>
      </c>
      <c r="D12" s="218" t="s">
        <v>346</v>
      </c>
      <c r="E12" s="219" t="s">
        <v>347</v>
      </c>
      <c r="F12" s="220" t="n">
        <v>0.006</v>
      </c>
      <c r="G12" s="221" t="n">
        <f aca="false">ROUND((1-ORCAMENTO!$O$10)*87.72,2)</f>
        <v>87.72</v>
      </c>
      <c r="H12" s="221" t="n">
        <f aca="false">(1-ORCAMENTO!$O$10)*0.52</f>
        <v>0.52</v>
      </c>
      <c r="I12" s="222" t="n">
        <f aca="false">(1-ORCAMENTO!$O$10)*0.04014</f>
        <v>0.04014</v>
      </c>
      <c r="J12" s="222" t="n">
        <f aca="false">(1-ORCAMENTO!$O$10)*0.16848</f>
        <v>0.16848</v>
      </c>
      <c r="K12" s="222" t="n">
        <f aca="false">(1-ORCAMENTO!$O$10)*0.3177</f>
        <v>0.3177</v>
      </c>
      <c r="L12" s="222" t="n">
        <f aca="false">(1-ORCAMENTO!$O$10)*0</f>
        <v>0</v>
      </c>
      <c r="M12" s="222" t="n">
        <f aca="false">(1-ORCAMENTO!$O$10)*0</f>
        <v>0</v>
      </c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</row>
    <row r="13" customFormat="false" ht="14.25" hidden="false" customHeight="true" outlineLevel="0" collapsed="false">
      <c r="A13" s="228" t="s">
        <v>341</v>
      </c>
      <c r="B13" s="217" t="s">
        <v>69</v>
      </c>
      <c r="C13" s="228" t="s">
        <v>348</v>
      </c>
      <c r="D13" s="218" t="s">
        <v>349</v>
      </c>
      <c r="E13" s="219" t="s">
        <v>71</v>
      </c>
      <c r="F13" s="220" t="n">
        <v>0.009</v>
      </c>
      <c r="G13" s="221" t="n">
        <f aca="false">ROUND((1-ORCAMENTO!$O$10)*25.12,2)</f>
        <v>25.12</v>
      </c>
      <c r="H13" s="221" t="n">
        <f aca="false">(1-ORCAMENTO!$O$10)*0.22</f>
        <v>0.22</v>
      </c>
      <c r="I13" s="222" t="n">
        <f aca="false">(1-ORCAMENTO!$O$10)*0.0693</f>
        <v>0.0693</v>
      </c>
      <c r="J13" s="222" t="n">
        <f aca="false">(1-ORCAMENTO!$O$10)*0.15678</f>
        <v>0.15678</v>
      </c>
      <c r="K13" s="222" t="n">
        <f aca="false">(1-ORCAMENTO!$O$10)*0</f>
        <v>0</v>
      </c>
      <c r="L13" s="222" t="n">
        <f aca="false">(1-ORCAMENTO!$O$10)*0</f>
        <v>0</v>
      </c>
      <c r="M13" s="222" t="n">
        <f aca="false">(1-ORCAMENTO!$O$10)*0</f>
        <v>0</v>
      </c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</row>
    <row r="14" customFormat="false" ht="14.25" hidden="false" customHeight="true" outlineLevel="0" collapsed="false">
      <c r="A14" s="217"/>
      <c r="B14" s="217"/>
      <c r="C14" s="228"/>
      <c r="D14" s="218"/>
      <c r="E14" s="219"/>
      <c r="F14" s="220"/>
      <c r="G14" s="221"/>
      <c r="H14" s="221"/>
      <c r="I14" s="222"/>
      <c r="J14" s="222"/>
      <c r="K14" s="222"/>
      <c r="L14" s="222"/>
      <c r="M14" s="22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customFormat="false" ht="14.25" hidden="false" customHeight="true" outlineLevel="0" collapsed="false">
      <c r="A15" s="223" t="s">
        <v>350</v>
      </c>
      <c r="B15" s="160" t="s">
        <v>69</v>
      </c>
      <c r="C15" s="223"/>
      <c r="D15" s="224" t="s">
        <v>110</v>
      </c>
      <c r="E15" s="159" t="s">
        <v>62</v>
      </c>
      <c r="F15" s="225"/>
      <c r="G15" s="226"/>
      <c r="H15" s="226" t="n">
        <f aca="false">SUM($I$15:$M$15)</f>
        <v>2.63</v>
      </c>
      <c r="I15" s="227" t="n">
        <f aca="false">ROUND((1-ORCAMENTO!$O$10)*0.41,2)</f>
        <v>0.41</v>
      </c>
      <c r="J15" s="227" t="n">
        <f aca="false">ROUND((1-ORCAMENTO!$O$10)*0.9,2)</f>
        <v>0.9</v>
      </c>
      <c r="K15" s="227" t="n">
        <f aca="false">ROUND((1-ORCAMENTO!$O$10)*1.32,2)</f>
        <v>1.32</v>
      </c>
      <c r="L15" s="227" t="n">
        <f aca="false">ROUND((1-ORCAMENTO!$O$10)*0,2)</f>
        <v>0</v>
      </c>
      <c r="M15" s="227" t="n">
        <f aca="false">ROUND((1-ORCAMENTO!$O$10)*0,2)</f>
        <v>0</v>
      </c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</row>
    <row r="16" customFormat="false" ht="14.25" hidden="false" customHeight="true" outlineLevel="0" collapsed="false">
      <c r="A16" s="228" t="s">
        <v>341</v>
      </c>
      <c r="B16" s="217" t="s">
        <v>69</v>
      </c>
      <c r="C16" s="228" t="s">
        <v>351</v>
      </c>
      <c r="D16" s="218" t="s">
        <v>352</v>
      </c>
      <c r="E16" s="219" t="s">
        <v>344</v>
      </c>
      <c r="F16" s="220" t="n">
        <v>0.001</v>
      </c>
      <c r="G16" s="221" t="n">
        <f aca="false">ROUND((1-ORCAMENTO!$O$10)*280.15,2)</f>
        <v>280.15</v>
      </c>
      <c r="H16" s="221" t="n">
        <f aca="false">(1-ORCAMENTO!$O$10)*0.28</f>
        <v>0.28</v>
      </c>
      <c r="I16" s="222" t="n">
        <f aca="false">(1-ORCAMENTO!$O$10)*0.16105</f>
        <v>0.16105</v>
      </c>
      <c r="J16" s="222" t="n">
        <f aca="false">(1-ORCAMENTO!$O$10)*0.02499</f>
        <v>0.02499</v>
      </c>
      <c r="K16" s="222" t="n">
        <f aca="false">(1-ORCAMENTO!$O$10)*0.09411</f>
        <v>0.09411</v>
      </c>
      <c r="L16" s="222" t="n">
        <f aca="false">(1-ORCAMENTO!$O$10)*0</f>
        <v>0</v>
      </c>
      <c r="M16" s="222" t="n">
        <f aca="false">(1-ORCAMENTO!$O$10)*0</f>
        <v>0</v>
      </c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</row>
    <row r="17" customFormat="false" ht="14.25" hidden="false" customHeight="true" outlineLevel="0" collapsed="false">
      <c r="A17" s="228" t="s">
        <v>341</v>
      </c>
      <c r="B17" s="217" t="s">
        <v>69</v>
      </c>
      <c r="C17" s="228" t="s">
        <v>353</v>
      </c>
      <c r="D17" s="218" t="s">
        <v>354</v>
      </c>
      <c r="E17" s="219" t="s">
        <v>347</v>
      </c>
      <c r="F17" s="220" t="n">
        <v>0.007</v>
      </c>
      <c r="G17" s="221" t="n">
        <f aca="false">ROUND((1-ORCAMENTO!$O$10)*72.35,2)</f>
        <v>72.35</v>
      </c>
      <c r="H17" s="221" t="n">
        <f aca="false">(1-ORCAMENTO!$O$10)*0.5</f>
        <v>0.5</v>
      </c>
      <c r="I17" s="222" t="n">
        <f aca="false">(1-ORCAMENTO!$O$10)*0.04683</f>
        <v>0.04683</v>
      </c>
      <c r="J17" s="222" t="n">
        <f aca="false">(1-ORCAMENTO!$O$10)*0.17493</f>
        <v>0.17493</v>
      </c>
      <c r="K17" s="222" t="n">
        <f aca="false">(1-ORCAMENTO!$O$10)*0.28469</f>
        <v>0.28469</v>
      </c>
      <c r="L17" s="222" t="n">
        <f aca="false">(1-ORCAMENTO!$O$10)*0</f>
        <v>0</v>
      </c>
      <c r="M17" s="222" t="n">
        <f aca="false">(1-ORCAMENTO!$O$10)*0</f>
        <v>0</v>
      </c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</row>
    <row r="18" customFormat="false" ht="14.25" hidden="false" customHeight="true" outlineLevel="0" collapsed="false">
      <c r="A18" s="228" t="s">
        <v>341</v>
      </c>
      <c r="B18" s="217" t="s">
        <v>69</v>
      </c>
      <c r="C18" s="228" t="s">
        <v>355</v>
      </c>
      <c r="D18" s="218" t="s">
        <v>356</v>
      </c>
      <c r="E18" s="219" t="s">
        <v>344</v>
      </c>
      <c r="F18" s="220" t="n">
        <v>0.0001</v>
      </c>
      <c r="G18" s="221" t="n">
        <f aca="false">ROUND((1-ORCAMENTO!$O$10)*260.16,2)</f>
        <v>260.16</v>
      </c>
      <c r="H18" s="221" t="n">
        <f aca="false">(1-ORCAMENTO!$O$10)*0.02</f>
        <v>0.02</v>
      </c>
      <c r="I18" s="222" t="n">
        <f aca="false">(1-ORCAMENTO!$O$10)*0.007384</f>
        <v>0.007384</v>
      </c>
      <c r="J18" s="222" t="n">
        <f aca="false">(1-ORCAMENTO!$O$10)*0.003022</f>
        <v>0.003022</v>
      </c>
      <c r="K18" s="222" t="n">
        <f aca="false">(1-ORCAMENTO!$O$10)*0.01561</f>
        <v>0.01561</v>
      </c>
      <c r="L18" s="222" t="n">
        <f aca="false">(1-ORCAMENTO!$O$10)*0</f>
        <v>0</v>
      </c>
      <c r="M18" s="222" t="n">
        <f aca="false">(1-ORCAMENTO!$O$10)*0</f>
        <v>0</v>
      </c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</row>
    <row r="19" customFormat="false" ht="14.25" hidden="false" customHeight="true" outlineLevel="0" collapsed="false">
      <c r="A19" s="228" t="s">
        <v>341</v>
      </c>
      <c r="B19" s="217" t="s">
        <v>69</v>
      </c>
      <c r="C19" s="228" t="s">
        <v>357</v>
      </c>
      <c r="D19" s="218" t="s">
        <v>358</v>
      </c>
      <c r="E19" s="219" t="s">
        <v>347</v>
      </c>
      <c r="F19" s="220" t="n">
        <v>0.008</v>
      </c>
      <c r="G19" s="221" t="n">
        <f aca="false">ROUND((1-ORCAMENTO!$O$10)*102.99,2)</f>
        <v>102.99</v>
      </c>
      <c r="H19" s="221" t="n">
        <f aca="false">(1-ORCAMENTO!$O$10)*0.82</f>
        <v>0.82</v>
      </c>
      <c r="I19" s="222" t="n">
        <f aca="false">(1-ORCAMENTO!$O$10)*0.05352</f>
        <v>0.05352</v>
      </c>
      <c r="J19" s="222" t="n">
        <f aca="false">(1-ORCAMENTO!$O$10)*0.24176</f>
        <v>0.24176</v>
      </c>
      <c r="K19" s="222" t="n">
        <f aca="false">(1-ORCAMENTO!$O$10)*0.52864</f>
        <v>0.52864</v>
      </c>
      <c r="L19" s="222" t="n">
        <f aca="false">(1-ORCAMENTO!$O$10)*0</f>
        <v>0</v>
      </c>
      <c r="M19" s="222" t="n">
        <f aca="false">(1-ORCAMENTO!$O$10)*0</f>
        <v>0</v>
      </c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</row>
    <row r="20" customFormat="false" ht="14.25" hidden="false" customHeight="true" outlineLevel="0" collapsed="false">
      <c r="A20" s="228" t="s">
        <v>341</v>
      </c>
      <c r="B20" s="217" t="s">
        <v>69</v>
      </c>
      <c r="C20" s="228" t="s">
        <v>359</v>
      </c>
      <c r="D20" s="218" t="s">
        <v>360</v>
      </c>
      <c r="E20" s="219" t="s">
        <v>344</v>
      </c>
      <c r="F20" s="220" t="n">
        <v>0.002</v>
      </c>
      <c r="G20" s="221" t="n">
        <f aca="false">ROUND((1-ORCAMENTO!$O$10)*210.58,2)</f>
        <v>210.58</v>
      </c>
      <c r="H20" s="221" t="n">
        <f aca="false">(1-ORCAMENTO!$O$10)*0.42</f>
        <v>0.42</v>
      </c>
      <c r="I20" s="222" t="n">
        <f aca="false">(1-ORCAMENTO!$O$10)*0.13182</f>
        <v>0.13182</v>
      </c>
      <c r="J20" s="222" t="n">
        <f aca="false">(1-ORCAMENTO!$O$10)*0.13302</f>
        <v>0.13302</v>
      </c>
      <c r="K20" s="222" t="n">
        <f aca="false">(1-ORCAMENTO!$O$10)*0.15632</f>
        <v>0.15632</v>
      </c>
      <c r="L20" s="222" t="n">
        <f aca="false">(1-ORCAMENTO!$O$10)*0</f>
        <v>0</v>
      </c>
      <c r="M20" s="222" t="n">
        <f aca="false">(1-ORCAMENTO!$O$10)*0</f>
        <v>0</v>
      </c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</row>
    <row r="21" customFormat="false" ht="14.25" hidden="false" customHeight="true" outlineLevel="0" collapsed="false">
      <c r="A21" s="228" t="s">
        <v>341</v>
      </c>
      <c r="B21" s="217" t="s">
        <v>69</v>
      </c>
      <c r="C21" s="228" t="s">
        <v>348</v>
      </c>
      <c r="D21" s="218" t="s">
        <v>349</v>
      </c>
      <c r="E21" s="219" t="s">
        <v>71</v>
      </c>
      <c r="F21" s="220" t="n">
        <v>0.008</v>
      </c>
      <c r="G21" s="221" t="n">
        <f aca="false">ROUND((1-ORCAMENTO!$O$10)*25.12,2)</f>
        <v>25.12</v>
      </c>
      <c r="H21" s="221" t="n">
        <f aca="false">(1-ORCAMENTO!$O$10)*0.2</f>
        <v>0.2</v>
      </c>
      <c r="I21" s="222" t="n">
        <f aca="false">(1-ORCAMENTO!$O$10)*0.0616</f>
        <v>0.0616</v>
      </c>
      <c r="J21" s="222" t="n">
        <f aca="false">(1-ORCAMENTO!$O$10)*0.13936</f>
        <v>0.13936</v>
      </c>
      <c r="K21" s="222" t="n">
        <f aca="false">(1-ORCAMENTO!$O$10)*0</f>
        <v>0</v>
      </c>
      <c r="L21" s="222" t="n">
        <f aca="false">(1-ORCAMENTO!$O$10)*0</f>
        <v>0</v>
      </c>
      <c r="M21" s="222" t="n">
        <f aca="false">(1-ORCAMENTO!$O$10)*0</f>
        <v>0</v>
      </c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</row>
    <row r="22" customFormat="false" ht="14.25" hidden="false" customHeight="true" outlineLevel="0" collapsed="false">
      <c r="A22" s="228" t="s">
        <v>341</v>
      </c>
      <c r="B22" s="217" t="s">
        <v>69</v>
      </c>
      <c r="C22" s="228" t="s">
        <v>361</v>
      </c>
      <c r="D22" s="218" t="s">
        <v>362</v>
      </c>
      <c r="E22" s="219" t="s">
        <v>347</v>
      </c>
      <c r="F22" s="220" t="n">
        <v>0.006</v>
      </c>
      <c r="G22" s="221" t="n">
        <f aca="false">ROUND((1-ORCAMENTO!$O$10)*66.1,2)</f>
        <v>66.1</v>
      </c>
      <c r="H22" s="221" t="n">
        <f aca="false">(1-ORCAMENTO!$O$10)*0.39</f>
        <v>0.39</v>
      </c>
      <c r="I22" s="222" t="n">
        <f aca="false">(1-ORCAMENTO!$O$10)*0.04014</f>
        <v>0.04014</v>
      </c>
      <c r="J22" s="222" t="n">
        <f aca="false">(1-ORCAMENTO!$O$10)*0.13302</f>
        <v>0.13302</v>
      </c>
      <c r="K22" s="222" t="n">
        <f aca="false">(1-ORCAMENTO!$O$10)*0.22344</f>
        <v>0.22344</v>
      </c>
      <c r="L22" s="222" t="n">
        <f aca="false">(1-ORCAMENTO!$O$10)*0</f>
        <v>0</v>
      </c>
      <c r="M22" s="222" t="n">
        <f aca="false">(1-ORCAMENTO!$O$10)*0</f>
        <v>0</v>
      </c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</row>
    <row r="23" customFormat="false" ht="14.25" hidden="false" customHeight="true" outlineLevel="0" collapsed="false">
      <c r="A23" s="228"/>
      <c r="B23" s="217"/>
      <c r="C23" s="228"/>
      <c r="D23" s="218"/>
      <c r="E23" s="219"/>
      <c r="F23" s="220"/>
      <c r="G23" s="221"/>
      <c r="H23" s="221"/>
      <c r="I23" s="222"/>
      <c r="J23" s="222"/>
      <c r="K23" s="222"/>
      <c r="L23" s="222"/>
      <c r="M23" s="222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</row>
    <row r="24" customFormat="false" ht="14.25" hidden="false" customHeight="true" outlineLevel="0" collapsed="false">
      <c r="A24" s="223" t="s">
        <v>363</v>
      </c>
      <c r="B24" s="160" t="s">
        <v>69</v>
      </c>
      <c r="C24" s="223"/>
      <c r="D24" s="224" t="s">
        <v>256</v>
      </c>
      <c r="E24" s="159" t="s">
        <v>85</v>
      </c>
      <c r="F24" s="225"/>
      <c r="G24" s="226"/>
      <c r="H24" s="226" t="n">
        <f aca="false">SUM($I$24:$M$24)</f>
        <v>8.97</v>
      </c>
      <c r="I24" s="227" t="n">
        <f aca="false">ROUND((1-ORCAMENTO!$O$10)*2.62,2)</f>
        <v>2.62</v>
      </c>
      <c r="J24" s="227" t="n">
        <f aca="false">ROUND((1-ORCAMENTO!$O$10)*1.84,2)</f>
        <v>1.84</v>
      </c>
      <c r="K24" s="227" t="n">
        <f aca="false">ROUND((1-ORCAMENTO!$O$10)*4.51,2)</f>
        <v>4.51</v>
      </c>
      <c r="L24" s="227" t="n">
        <f aca="false">ROUND((1-ORCAMENTO!$O$10)*0,2)</f>
        <v>0</v>
      </c>
      <c r="M24" s="227" t="n">
        <f aca="false">ROUND((1-ORCAMENTO!$O$10)*0,2)</f>
        <v>0</v>
      </c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</row>
    <row r="25" customFormat="false" ht="14.25" hidden="false" customHeight="true" outlineLevel="0" collapsed="false">
      <c r="A25" s="228" t="s">
        <v>341</v>
      </c>
      <c r="B25" s="217" t="s">
        <v>69</v>
      </c>
      <c r="C25" s="228" t="s">
        <v>364</v>
      </c>
      <c r="D25" s="218" t="s">
        <v>365</v>
      </c>
      <c r="E25" s="219" t="s">
        <v>344</v>
      </c>
      <c r="F25" s="220" t="n">
        <v>0.0083</v>
      </c>
      <c r="G25" s="221" t="n">
        <f aca="false">ROUND((1-ORCAMENTO!$O$10)*199.9,2)</f>
        <v>199.9</v>
      </c>
      <c r="H25" s="221" t="n">
        <f aca="false">(1-ORCAMENTO!$O$10)*1.65</f>
        <v>1.65</v>
      </c>
      <c r="I25" s="222" t="n">
        <f aca="false">(1-ORCAMENTO!$O$10)*0.484554</f>
        <v>0.484554</v>
      </c>
      <c r="J25" s="222" t="n">
        <f aca="false">(1-ORCAMENTO!$O$10)*0.221029</f>
        <v>0.221029</v>
      </c>
      <c r="K25" s="222" t="n">
        <f aca="false">(1-ORCAMENTO!$O$10)*0.953587</f>
        <v>0.953587</v>
      </c>
      <c r="L25" s="222" t="n">
        <f aca="false">(1-ORCAMENTO!$O$10)*0</f>
        <v>0</v>
      </c>
      <c r="M25" s="222" t="n">
        <f aca="false">(1-ORCAMENTO!$O$10)*0</f>
        <v>0</v>
      </c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</row>
    <row r="26" customFormat="false" ht="14.25" hidden="false" customHeight="true" outlineLevel="0" collapsed="false">
      <c r="A26" s="217" t="s">
        <v>341</v>
      </c>
      <c r="B26" s="217" t="s">
        <v>69</v>
      </c>
      <c r="C26" s="228" t="s">
        <v>366</v>
      </c>
      <c r="D26" s="218" t="s">
        <v>367</v>
      </c>
      <c r="E26" s="219" t="s">
        <v>347</v>
      </c>
      <c r="F26" s="220" t="n">
        <v>0.0151</v>
      </c>
      <c r="G26" s="221" t="n">
        <f aca="false">ROUND((1-ORCAMENTO!$O$10)*88.01,2)</f>
        <v>88.01</v>
      </c>
      <c r="H26" s="221" t="n">
        <f aca="false">(1-ORCAMENTO!$O$10)*1.32</f>
        <v>1.32</v>
      </c>
      <c r="I26" s="222" t="n">
        <f aca="false">(1-ORCAMENTO!$O$10)*0.101019</f>
        <v>0.101019</v>
      </c>
      <c r="J26" s="222" t="n">
        <f aca="false">(1-ORCAMENTO!$O$10)*0.402113</f>
        <v>0.402113</v>
      </c>
      <c r="K26" s="222" t="n">
        <f aca="false">(1-ORCAMENTO!$O$10)*0.825819</f>
        <v>0.825819</v>
      </c>
      <c r="L26" s="222" t="n">
        <f aca="false">(1-ORCAMENTO!$O$10)*0</f>
        <v>0</v>
      </c>
      <c r="M26" s="222" t="n">
        <f aca="false">(1-ORCAMENTO!$O$10)*0</f>
        <v>0</v>
      </c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</row>
    <row r="27" customFormat="false" ht="14.25" hidden="false" customHeight="true" outlineLevel="0" collapsed="false">
      <c r="A27" s="217" t="s">
        <v>341</v>
      </c>
      <c r="B27" s="217" t="s">
        <v>69</v>
      </c>
      <c r="C27" s="228" t="s">
        <v>368</v>
      </c>
      <c r="D27" s="218" t="s">
        <v>369</v>
      </c>
      <c r="E27" s="219" t="s">
        <v>344</v>
      </c>
      <c r="F27" s="220" t="n">
        <v>0.0267</v>
      </c>
      <c r="G27" s="221" t="n">
        <f aca="false">ROUND((1-ORCAMENTO!$O$10)*174.96,2)</f>
        <v>174.96</v>
      </c>
      <c r="H27" s="221" t="n">
        <f aca="false">(1-ORCAMENTO!$O$10)*4.67</f>
        <v>4.67</v>
      </c>
      <c r="I27" s="222" t="n">
        <f aca="false">(1-ORCAMENTO!$O$10)*1.924002</f>
        <v>1.924002</v>
      </c>
      <c r="J27" s="222" t="n">
        <f aca="false">(1-ORCAMENTO!$O$10)*0.692865</f>
        <v>0.692865</v>
      </c>
      <c r="K27" s="222" t="n">
        <f aca="false">(1-ORCAMENTO!$O$10)*2.054565</f>
        <v>2.054565</v>
      </c>
      <c r="L27" s="222" t="n">
        <f aca="false">(1-ORCAMENTO!$O$10)*0</f>
        <v>0</v>
      </c>
      <c r="M27" s="222" t="n">
        <f aca="false">(1-ORCAMENTO!$O$10)*0</f>
        <v>0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customFormat="false" ht="14.25" hidden="false" customHeight="true" outlineLevel="0" collapsed="false">
      <c r="A28" s="228" t="s">
        <v>341</v>
      </c>
      <c r="B28" s="217" t="s">
        <v>69</v>
      </c>
      <c r="C28" s="228" t="s">
        <v>370</v>
      </c>
      <c r="D28" s="218" t="s">
        <v>371</v>
      </c>
      <c r="E28" s="219" t="s">
        <v>347</v>
      </c>
      <c r="F28" s="220" t="n">
        <v>0.0203</v>
      </c>
      <c r="G28" s="221" t="n">
        <f aca="false">ROUND((1-ORCAMENTO!$O$10)*65.66,2)</f>
        <v>65.66</v>
      </c>
      <c r="H28" s="221" t="n">
        <f aca="false">(1-ORCAMENTO!$O$10)*1.33</f>
        <v>1.33</v>
      </c>
      <c r="I28" s="222" t="n">
        <f aca="false">(1-ORCAMENTO!$O$10)*0.135807</f>
        <v>0.135807</v>
      </c>
      <c r="J28" s="222" t="n">
        <f aca="false">(1-ORCAMENTO!$O$10)*0.526785</f>
        <v>0.526785</v>
      </c>
      <c r="K28" s="222" t="n">
        <f aca="false">(1-ORCAMENTO!$O$10)*0.670306</f>
        <v>0.670306</v>
      </c>
      <c r="L28" s="222" t="n">
        <f aca="false">(1-ORCAMENTO!$O$10)*0</f>
        <v>0</v>
      </c>
      <c r="M28" s="222" t="n">
        <f aca="false">(1-ORCAMENTO!$O$10)*0</f>
        <v>0</v>
      </c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</row>
    <row r="29" customFormat="false" ht="14.25" hidden="false" customHeight="true" outlineLevel="0" collapsed="false">
      <c r="A29" s="228"/>
      <c r="B29" s="217"/>
      <c r="C29" s="228"/>
      <c r="D29" s="218"/>
      <c r="E29" s="219"/>
      <c r="F29" s="220"/>
      <c r="G29" s="221"/>
      <c r="H29" s="221"/>
      <c r="I29" s="222"/>
      <c r="J29" s="222"/>
      <c r="K29" s="222"/>
      <c r="L29" s="222"/>
      <c r="M29" s="222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</row>
    <row r="30" customFormat="false" ht="14.25" hidden="false" customHeight="true" outlineLevel="0" collapsed="false">
      <c r="A30" s="223" t="s">
        <v>372</v>
      </c>
      <c r="B30" s="160" t="s">
        <v>69</v>
      </c>
      <c r="C30" s="223"/>
      <c r="D30" s="224" t="s">
        <v>84</v>
      </c>
      <c r="E30" s="159" t="s">
        <v>85</v>
      </c>
      <c r="F30" s="225"/>
      <c r="G30" s="226"/>
      <c r="H30" s="226" t="n">
        <f aca="false">SUM($I$30:$M$30)</f>
        <v>2.22</v>
      </c>
      <c r="I30" s="227" t="n">
        <f aca="false">ROUND((1-ORCAMENTO!$O$10)*0.53,2)</f>
        <v>0.53</v>
      </c>
      <c r="J30" s="227" t="n">
        <f aca="false">ROUND((1-ORCAMENTO!$O$10)*0.6,2)</f>
        <v>0.6</v>
      </c>
      <c r="K30" s="227" t="n">
        <f aca="false">ROUND((1-ORCAMENTO!$O$10)*1.09,2)</f>
        <v>1.09</v>
      </c>
      <c r="L30" s="227" t="n">
        <f aca="false">ROUND((1-ORCAMENTO!$O$10)*0,2)</f>
        <v>0</v>
      </c>
      <c r="M30" s="227" t="n">
        <f aca="false">ROUND((1-ORCAMENTO!$O$10)*0,2)</f>
        <v>0</v>
      </c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</row>
    <row r="31" customFormat="false" ht="14.25" hidden="false" customHeight="true" outlineLevel="0" collapsed="false">
      <c r="A31" s="228" t="s">
        <v>341</v>
      </c>
      <c r="B31" s="217" t="s">
        <v>69</v>
      </c>
      <c r="C31" s="228" t="s">
        <v>373</v>
      </c>
      <c r="D31" s="218" t="s">
        <v>374</v>
      </c>
      <c r="E31" s="219" t="s">
        <v>344</v>
      </c>
      <c r="F31" s="220" t="n">
        <v>0.0048</v>
      </c>
      <c r="G31" s="221" t="n">
        <f aca="false">ROUND((1-ORCAMENTO!$O$10)*249.45,2)</f>
        <v>249.45</v>
      </c>
      <c r="H31" s="221" t="n">
        <f aca="false">(1-ORCAMENTO!$O$10)*1.19</f>
        <v>1.19</v>
      </c>
      <c r="I31" s="222" t="n">
        <f aca="false">(1-ORCAMENTO!$O$10)*0.441264</f>
        <v>0.441264</v>
      </c>
      <c r="J31" s="222" t="n">
        <f aca="false">(1-ORCAMENTO!$O$10)*0.134784</f>
        <v>0.134784</v>
      </c>
      <c r="K31" s="222" t="n">
        <f aca="false">(1-ORCAMENTO!$O$10)*0.621312</f>
        <v>0.621312</v>
      </c>
      <c r="L31" s="222" t="n">
        <f aca="false">(1-ORCAMENTO!$O$10)*0</f>
        <v>0</v>
      </c>
      <c r="M31" s="222" t="n">
        <f aca="false">(1-ORCAMENTO!$O$10)*0</f>
        <v>0</v>
      </c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</row>
    <row r="32" customFormat="false" ht="14.25" hidden="false" customHeight="true" outlineLevel="0" collapsed="false">
      <c r="A32" s="217" t="s">
        <v>341</v>
      </c>
      <c r="B32" s="217" t="s">
        <v>69</v>
      </c>
      <c r="C32" s="228" t="s">
        <v>375</v>
      </c>
      <c r="D32" s="218" t="s">
        <v>376</v>
      </c>
      <c r="E32" s="219" t="s">
        <v>347</v>
      </c>
      <c r="F32" s="220" t="n">
        <v>0.0082</v>
      </c>
      <c r="G32" s="221" t="n">
        <f aca="false">ROUND((1-ORCAMENTO!$O$10)*87.4,2)</f>
        <v>87.4</v>
      </c>
      <c r="H32" s="221" t="n">
        <f aca="false">(1-ORCAMENTO!$O$10)*0.71</f>
        <v>0.71</v>
      </c>
      <c r="I32" s="222" t="n">
        <f aca="false">(1-ORCAMENTO!$O$10)*0.054858</f>
        <v>0.054858</v>
      </c>
      <c r="J32" s="222" t="n">
        <f aca="false">(1-ORCAMENTO!$O$10)*0.230256</f>
        <v>0.230256</v>
      </c>
      <c r="K32" s="222" t="n">
        <f aca="false">(1-ORCAMENTO!$O$10)*0.431566</f>
        <v>0.431566</v>
      </c>
      <c r="L32" s="222" t="n">
        <f aca="false">(1-ORCAMENTO!$O$10)*0</f>
        <v>0</v>
      </c>
      <c r="M32" s="222" t="n">
        <f aca="false">(1-ORCAMENTO!$O$10)*0</f>
        <v>0</v>
      </c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</row>
    <row r="33" customFormat="false" ht="14.25" hidden="false" customHeight="true" outlineLevel="0" collapsed="false">
      <c r="A33" s="228" t="s">
        <v>341</v>
      </c>
      <c r="B33" s="217" t="s">
        <v>69</v>
      </c>
      <c r="C33" s="228" t="s">
        <v>348</v>
      </c>
      <c r="D33" s="218" t="s">
        <v>349</v>
      </c>
      <c r="E33" s="219" t="s">
        <v>71</v>
      </c>
      <c r="F33" s="220" t="n">
        <v>0.0131</v>
      </c>
      <c r="G33" s="221" t="n">
        <f aca="false">ROUND((1-ORCAMENTO!$O$10)*25.12,2)</f>
        <v>25.12</v>
      </c>
      <c r="H33" s="221" t="n">
        <f aca="false">(1-ORCAMENTO!$O$10)*0.32</f>
        <v>0.32</v>
      </c>
      <c r="I33" s="222" t="n">
        <f aca="false">(1-ORCAMENTO!$O$10)*0.10087</f>
        <v>0.10087</v>
      </c>
      <c r="J33" s="222" t="n">
        <f aca="false">(1-ORCAMENTO!$O$10)*0.228202</f>
        <v>0.228202</v>
      </c>
      <c r="K33" s="222" t="n">
        <f aca="false">(1-ORCAMENTO!$O$10)*0</f>
        <v>0</v>
      </c>
      <c r="L33" s="222" t="n">
        <f aca="false">(1-ORCAMENTO!$O$10)*0</f>
        <v>0</v>
      </c>
      <c r="M33" s="222" t="n">
        <f aca="false">(1-ORCAMENTO!$O$10)*0</f>
        <v>0</v>
      </c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</row>
    <row r="34" customFormat="false" ht="14.25" hidden="false" customHeight="true" outlineLevel="0" collapsed="false">
      <c r="A34" s="228"/>
      <c r="B34" s="217"/>
      <c r="C34" s="228"/>
      <c r="D34" s="218"/>
      <c r="E34" s="219"/>
      <c r="F34" s="220"/>
      <c r="G34" s="221"/>
      <c r="H34" s="221"/>
      <c r="I34" s="222"/>
      <c r="J34" s="222"/>
      <c r="K34" s="222"/>
      <c r="L34" s="222"/>
      <c r="M34" s="222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</row>
    <row r="35" customFormat="false" ht="14.25" hidden="false" customHeight="true" outlineLevel="0" collapsed="false">
      <c r="A35" s="223" t="s">
        <v>377</v>
      </c>
      <c r="B35" s="160" t="s">
        <v>69</v>
      </c>
      <c r="C35" s="223"/>
      <c r="D35" s="224" t="s">
        <v>87</v>
      </c>
      <c r="E35" s="159" t="s">
        <v>85</v>
      </c>
      <c r="F35" s="225"/>
      <c r="G35" s="226"/>
      <c r="H35" s="226" t="n">
        <f aca="false">SUM($I$35:$M$35)</f>
        <v>10.4</v>
      </c>
      <c r="I35" s="227" t="n">
        <f aca="false">ROUND((1-ORCAMENTO!$O$10)*4.11,2)</f>
        <v>4.11</v>
      </c>
      <c r="J35" s="227" t="n">
        <f aca="false">ROUND((1-ORCAMENTO!$O$10)*1.46,2)</f>
        <v>1.46</v>
      </c>
      <c r="K35" s="227" t="n">
        <f aca="false">ROUND((1-ORCAMENTO!$O$10)*4.83,2)</f>
        <v>4.83</v>
      </c>
      <c r="L35" s="227" t="n">
        <f aca="false">ROUND((1-ORCAMENTO!$O$10)*0,2)</f>
        <v>0</v>
      </c>
      <c r="M35" s="227" t="n">
        <f aca="false">ROUND((1-ORCAMENTO!$O$10)*0,2)</f>
        <v>0</v>
      </c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</row>
    <row r="36" customFormat="false" ht="14.25" hidden="false" customHeight="true" outlineLevel="0" collapsed="false">
      <c r="A36" s="228" t="s">
        <v>341</v>
      </c>
      <c r="B36" s="217" t="s">
        <v>69</v>
      </c>
      <c r="C36" s="228" t="s">
        <v>364</v>
      </c>
      <c r="D36" s="218" t="s">
        <v>365</v>
      </c>
      <c r="E36" s="219" t="s">
        <v>344</v>
      </c>
      <c r="F36" s="220" t="n">
        <v>0.0096</v>
      </c>
      <c r="G36" s="221" t="n">
        <f aca="false">ROUND((1-ORCAMENTO!$O$10)*199.9,2)</f>
        <v>199.9</v>
      </c>
      <c r="H36" s="221" t="n">
        <f aca="false">(1-ORCAMENTO!$O$10)*1.91</f>
        <v>1.91</v>
      </c>
      <c r="I36" s="222" t="n">
        <f aca="false">(1-ORCAMENTO!$O$10)*0.560448</f>
        <v>0.560448</v>
      </c>
      <c r="J36" s="222" t="n">
        <f aca="false">(1-ORCAMENTO!$O$10)*0.255648</f>
        <v>0.255648</v>
      </c>
      <c r="K36" s="222" t="n">
        <f aca="false">(1-ORCAMENTO!$O$10)*1.102944</f>
        <v>1.102944</v>
      </c>
      <c r="L36" s="222" t="n">
        <f aca="false">(1-ORCAMENTO!$O$10)*0</f>
        <v>0</v>
      </c>
      <c r="M36" s="222" t="n">
        <f aca="false">(1-ORCAMENTO!$O$10)*0</f>
        <v>0</v>
      </c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</row>
    <row r="37" customFormat="false" ht="14.25" hidden="false" customHeight="true" outlineLevel="0" collapsed="false">
      <c r="A37" s="228" t="s">
        <v>341</v>
      </c>
      <c r="B37" s="217" t="s">
        <v>69</v>
      </c>
      <c r="C37" s="228" t="s">
        <v>366</v>
      </c>
      <c r="D37" s="218" t="s">
        <v>367</v>
      </c>
      <c r="E37" s="219" t="s">
        <v>347</v>
      </c>
      <c r="F37" s="220" t="n">
        <v>0.0024</v>
      </c>
      <c r="G37" s="221" t="n">
        <f aca="false">ROUND((1-ORCAMENTO!$O$10)*88.01,2)</f>
        <v>88.01</v>
      </c>
      <c r="H37" s="221" t="n">
        <f aca="false">(1-ORCAMENTO!$O$10)*0.21</f>
        <v>0.21</v>
      </c>
      <c r="I37" s="222" t="n">
        <f aca="false">(1-ORCAMENTO!$O$10)*0.016056</f>
        <v>0.016056</v>
      </c>
      <c r="J37" s="222" t="n">
        <f aca="false">(1-ORCAMENTO!$O$10)*0.063912</f>
        <v>0.063912</v>
      </c>
      <c r="K37" s="222" t="n">
        <f aca="false">(1-ORCAMENTO!$O$10)*0.131256</f>
        <v>0.131256</v>
      </c>
      <c r="L37" s="222" t="n">
        <f aca="false">(1-ORCAMENTO!$O$10)*0</f>
        <v>0</v>
      </c>
      <c r="M37" s="222" t="n">
        <f aca="false">(1-ORCAMENTO!$O$10)*0</f>
        <v>0</v>
      </c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</row>
    <row r="38" customFormat="false" ht="14.25" hidden="false" customHeight="true" outlineLevel="0" collapsed="false">
      <c r="A38" s="228" t="s">
        <v>341</v>
      </c>
      <c r="B38" s="217" t="s">
        <v>69</v>
      </c>
      <c r="C38" s="228" t="s">
        <v>348</v>
      </c>
      <c r="D38" s="218" t="s">
        <v>349</v>
      </c>
      <c r="E38" s="219" t="s">
        <v>71</v>
      </c>
      <c r="F38" s="220" t="n">
        <v>0.012</v>
      </c>
      <c r="G38" s="221" t="n">
        <f aca="false">ROUND((1-ORCAMENTO!$O$10)*25.12,2)</f>
        <v>25.12</v>
      </c>
      <c r="H38" s="221" t="n">
        <f aca="false">(1-ORCAMENTO!$O$10)*0.3</f>
        <v>0.3</v>
      </c>
      <c r="I38" s="222" t="n">
        <f aca="false">(1-ORCAMENTO!$O$10)*0.0924</f>
        <v>0.0924</v>
      </c>
      <c r="J38" s="222" t="n">
        <f aca="false">(1-ORCAMENTO!$O$10)*0.20904</f>
        <v>0.20904</v>
      </c>
      <c r="K38" s="222" t="n">
        <f aca="false">(1-ORCAMENTO!$O$10)*0</f>
        <v>0</v>
      </c>
      <c r="L38" s="222" t="n">
        <f aca="false">(1-ORCAMENTO!$O$10)*0</f>
        <v>0</v>
      </c>
      <c r="M38" s="222" t="n">
        <f aca="false">(1-ORCAMENTO!$O$10)*0</f>
        <v>0</v>
      </c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</row>
    <row r="39" customFormat="false" ht="14.25" hidden="false" customHeight="true" outlineLevel="0" collapsed="false">
      <c r="A39" s="228" t="s">
        <v>341</v>
      </c>
      <c r="B39" s="217" t="s">
        <v>69</v>
      </c>
      <c r="C39" s="228" t="s">
        <v>378</v>
      </c>
      <c r="D39" s="218" t="s">
        <v>379</v>
      </c>
      <c r="E39" s="219" t="s">
        <v>344</v>
      </c>
      <c r="F39" s="220" t="n">
        <v>0.0228</v>
      </c>
      <c r="G39" s="221" t="n">
        <f aca="false">ROUND((1-ORCAMENTO!$O$10)*299.66,2)</f>
        <v>299.66</v>
      </c>
      <c r="H39" s="221" t="n">
        <f aca="false">(1-ORCAMENTO!$O$10)*6.83</f>
        <v>6.83</v>
      </c>
      <c r="I39" s="222" t="n">
        <f aca="false">(1-ORCAMENTO!$O$10)*3.377592</f>
        <v>3.377592</v>
      </c>
      <c r="J39" s="222" t="n">
        <f aca="false">(1-ORCAMENTO!$O$10)*0.59166</f>
        <v>0.59166</v>
      </c>
      <c r="K39" s="222" t="n">
        <f aca="false">(1-ORCAMENTO!$O$10)*2.862996</f>
        <v>2.862996</v>
      </c>
      <c r="L39" s="222" t="n">
        <f aca="false">(1-ORCAMENTO!$O$10)*0</f>
        <v>0</v>
      </c>
      <c r="M39" s="222" t="n">
        <f aca="false">(1-ORCAMENTO!$O$10)*0</f>
        <v>0</v>
      </c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</row>
    <row r="40" customFormat="false" ht="14.25" hidden="false" customHeight="true" outlineLevel="0" collapsed="false">
      <c r="A40" s="228" t="s">
        <v>341</v>
      </c>
      <c r="B40" s="217" t="s">
        <v>69</v>
      </c>
      <c r="C40" s="228" t="s">
        <v>380</v>
      </c>
      <c r="D40" s="218" t="s">
        <v>381</v>
      </c>
      <c r="E40" s="219" t="s">
        <v>347</v>
      </c>
      <c r="F40" s="220" t="n">
        <v>0.0132</v>
      </c>
      <c r="G40" s="221" t="n">
        <f aca="false">ROUND((1-ORCAMENTO!$O$10)*87.6,2)</f>
        <v>87.6</v>
      </c>
      <c r="H40" s="221" t="n">
        <f aca="false">(1-ORCAMENTO!$O$10)*1.15</f>
        <v>1.15</v>
      </c>
      <c r="I40" s="222" t="n">
        <f aca="false">(1-ORCAMENTO!$O$10)*0.088308</f>
        <v>0.088308</v>
      </c>
      <c r="J40" s="222" t="n">
        <f aca="false">(1-ORCAMENTO!$O$10)*0.34254</f>
        <v>0.34254</v>
      </c>
      <c r="K40" s="222" t="n">
        <f aca="false">(1-ORCAMENTO!$O$10)*0.725472</f>
        <v>0.725472</v>
      </c>
      <c r="L40" s="222" t="n">
        <f aca="false">(1-ORCAMENTO!$O$10)*0</f>
        <v>0</v>
      </c>
      <c r="M40" s="222" t="n">
        <f aca="false">(1-ORCAMENTO!$O$10)*0</f>
        <v>0</v>
      </c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</row>
    <row r="41" customFormat="false" ht="14.25" hidden="false" customHeight="true" outlineLevel="0" collapsed="false">
      <c r="A41" s="228"/>
      <c r="B41" s="217"/>
      <c r="C41" s="228"/>
      <c r="D41" s="218"/>
      <c r="E41" s="219"/>
      <c r="F41" s="220"/>
      <c r="G41" s="221"/>
      <c r="H41" s="221"/>
      <c r="I41" s="222"/>
      <c r="J41" s="222"/>
      <c r="K41" s="222"/>
      <c r="L41" s="222"/>
      <c r="M41" s="222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</row>
    <row r="42" customFormat="false" ht="14.25" hidden="false" customHeight="true" outlineLevel="0" collapsed="false">
      <c r="A42" s="223" t="s">
        <v>382</v>
      </c>
      <c r="B42" s="160" t="s">
        <v>69</v>
      </c>
      <c r="C42" s="223"/>
      <c r="D42" s="224" t="s">
        <v>132</v>
      </c>
      <c r="E42" s="159" t="s">
        <v>62</v>
      </c>
      <c r="F42" s="225"/>
      <c r="G42" s="226"/>
      <c r="H42" s="226" t="n">
        <f aca="false">SUM($I$42:$M$42)</f>
        <v>38.6</v>
      </c>
      <c r="I42" s="227" t="n">
        <f aca="false">ROUND((1-ORCAMENTO!$O$10)*15.91,2)</f>
        <v>15.91</v>
      </c>
      <c r="J42" s="227" t="n">
        <f aca="false">ROUND((1-ORCAMENTO!$O$10)*22.64,2)</f>
        <v>22.64</v>
      </c>
      <c r="K42" s="227" t="n">
        <f aca="false">ROUND((1-ORCAMENTO!$O$10)*0.05,2)</f>
        <v>0.05</v>
      </c>
      <c r="L42" s="227" t="n">
        <f aca="false">ROUND((1-ORCAMENTO!$O$10)*0,2)</f>
        <v>0</v>
      </c>
      <c r="M42" s="227" t="n">
        <f aca="false">ROUND((1-ORCAMENTO!$O$10)*0,2)</f>
        <v>0</v>
      </c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</row>
    <row r="43" customFormat="false" ht="14.25" hidden="false" customHeight="true" outlineLevel="0" collapsed="false">
      <c r="A43" s="228" t="s">
        <v>341</v>
      </c>
      <c r="B43" s="217" t="s">
        <v>383</v>
      </c>
      <c r="C43" s="228" t="s">
        <v>384</v>
      </c>
      <c r="D43" s="218" t="s">
        <v>385</v>
      </c>
      <c r="E43" s="219" t="s">
        <v>85</v>
      </c>
      <c r="F43" s="220" t="n">
        <v>0.0568</v>
      </c>
      <c r="G43" s="221" t="n">
        <f aca="false">ROUND((1-ORCAMENTO!$O$10)*115,2)</f>
        <v>115</v>
      </c>
      <c r="H43" s="221" t="n">
        <f aca="false">(1-ORCAMENTO!$O$10)*6.53</f>
        <v>6.53</v>
      </c>
      <c r="I43" s="222" t="s">
        <v>386</v>
      </c>
      <c r="J43" s="222" t="s">
        <v>386</v>
      </c>
      <c r="K43" s="222" t="s">
        <v>386</v>
      </c>
      <c r="L43" s="222" t="s">
        <v>386</v>
      </c>
      <c r="M43" s="222" t="s">
        <v>386</v>
      </c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</row>
    <row r="44" customFormat="false" ht="14.25" hidden="false" customHeight="true" outlineLevel="0" collapsed="false">
      <c r="A44" s="228" t="s">
        <v>341</v>
      </c>
      <c r="B44" s="217" t="s">
        <v>383</v>
      </c>
      <c r="C44" s="228" t="s">
        <v>387</v>
      </c>
      <c r="D44" s="218" t="s">
        <v>388</v>
      </c>
      <c r="E44" s="219" t="s">
        <v>85</v>
      </c>
      <c r="F44" s="220" t="n">
        <v>0.0064</v>
      </c>
      <c r="G44" s="221" t="n">
        <f aca="false">ROUND((1-ORCAMENTO!$O$10)*62.01,2)</f>
        <v>62.01</v>
      </c>
      <c r="H44" s="221" t="n">
        <f aca="false">(1-ORCAMENTO!$O$10)*0.39</f>
        <v>0.39</v>
      </c>
      <c r="I44" s="222" t="s">
        <v>386</v>
      </c>
      <c r="J44" s="222" t="s">
        <v>386</v>
      </c>
      <c r="K44" s="222" t="s">
        <v>386</v>
      </c>
      <c r="L44" s="222" t="s">
        <v>386</v>
      </c>
      <c r="M44" s="222" t="s">
        <v>386</v>
      </c>
      <c r="N44" s="150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</row>
    <row r="45" customFormat="false" ht="14.25" hidden="false" customHeight="true" outlineLevel="0" collapsed="false">
      <c r="A45" s="228" t="s">
        <v>341</v>
      </c>
      <c r="B45" s="217" t="s">
        <v>69</v>
      </c>
      <c r="C45" s="228" t="s">
        <v>389</v>
      </c>
      <c r="D45" s="218" t="s">
        <v>390</v>
      </c>
      <c r="E45" s="219" t="s">
        <v>71</v>
      </c>
      <c r="F45" s="220" t="n">
        <v>0.2699</v>
      </c>
      <c r="G45" s="221" t="n">
        <f aca="false">ROUND((1-ORCAMENTO!$O$10)*28.61,2)</f>
        <v>28.61</v>
      </c>
      <c r="H45" s="221" t="n">
        <f aca="false">(1-ORCAMENTO!$O$10)*7.72</f>
        <v>7.72</v>
      </c>
      <c r="I45" s="222" t="n">
        <f aca="false">(1-ORCAMENTO!$O$10)*2.124113</f>
        <v>2.124113</v>
      </c>
      <c r="J45" s="222" t="n">
        <f aca="false">(1-ORCAMENTO!$O$10)*5.597726</f>
        <v>5.597726</v>
      </c>
      <c r="K45" s="222" t="n">
        <f aca="false">(1-ORCAMENTO!$O$10)*0</f>
        <v>0</v>
      </c>
      <c r="L45" s="222" t="n">
        <f aca="false">(1-ORCAMENTO!$O$10)*0</f>
        <v>0</v>
      </c>
      <c r="M45" s="222" t="n">
        <f aca="false">(1-ORCAMENTO!$O$10)*0</f>
        <v>0</v>
      </c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</row>
    <row r="46" customFormat="false" ht="14.25" hidden="false" customHeight="true" outlineLevel="0" collapsed="false">
      <c r="A46" s="228" t="s">
        <v>341</v>
      </c>
      <c r="B46" s="217" t="s">
        <v>69</v>
      </c>
      <c r="C46" s="228" t="s">
        <v>348</v>
      </c>
      <c r="D46" s="218" t="s">
        <v>349</v>
      </c>
      <c r="E46" s="219" t="s">
        <v>71</v>
      </c>
      <c r="F46" s="220" t="n">
        <v>0.2699</v>
      </c>
      <c r="G46" s="221" t="n">
        <f aca="false">ROUND((1-ORCAMENTO!$O$10)*25.12,2)</f>
        <v>25.12</v>
      </c>
      <c r="H46" s="221" t="n">
        <f aca="false">(1-ORCAMENTO!$O$10)*6.77</f>
        <v>6.77</v>
      </c>
      <c r="I46" s="222" t="n">
        <f aca="false">(1-ORCAMENTO!$O$10)*2.07823</f>
        <v>2.07823</v>
      </c>
      <c r="J46" s="222" t="n">
        <f aca="false">(1-ORCAMENTO!$O$10)*4.701658</f>
        <v>4.701658</v>
      </c>
      <c r="K46" s="222" t="n">
        <f aca="false">(1-ORCAMENTO!$O$10)*0</f>
        <v>0</v>
      </c>
      <c r="L46" s="222" t="n">
        <f aca="false">(1-ORCAMENTO!$O$10)*0</f>
        <v>0</v>
      </c>
      <c r="M46" s="222" t="n">
        <f aca="false">(1-ORCAMENTO!$O$10)*0</f>
        <v>0</v>
      </c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</row>
    <row r="47" customFormat="false" ht="14.25" hidden="false" customHeight="true" outlineLevel="0" collapsed="false">
      <c r="A47" s="228" t="s">
        <v>341</v>
      </c>
      <c r="B47" s="217" t="s">
        <v>69</v>
      </c>
      <c r="C47" s="228" t="s">
        <v>391</v>
      </c>
      <c r="D47" s="218" t="s">
        <v>392</v>
      </c>
      <c r="E47" s="219" t="s">
        <v>344</v>
      </c>
      <c r="F47" s="220" t="n">
        <v>0.0041</v>
      </c>
      <c r="G47" s="221" t="n">
        <f aca="false">ROUND((1-ORCAMENTO!$O$10)*9.64,2)</f>
        <v>9.64</v>
      </c>
      <c r="H47" s="221" t="n">
        <f aca="false">(1-ORCAMENTO!$O$10)*0.03</f>
        <v>0.03</v>
      </c>
      <c r="I47" s="222" t="n">
        <f aca="false">(1-ORCAMENTO!$O$10)*0.035096</f>
        <v>0.035096</v>
      </c>
      <c r="J47" s="222" t="n">
        <f aca="false">(1-ORCAMENTO!$O$10)*0</f>
        <v>0</v>
      </c>
      <c r="K47" s="222" t="n">
        <f aca="false">(1-ORCAMENTO!$O$10)*0.004428</f>
        <v>0.004428</v>
      </c>
      <c r="L47" s="222" t="n">
        <f aca="false">(1-ORCAMENTO!$O$10)*0</f>
        <v>0</v>
      </c>
      <c r="M47" s="222" t="n">
        <f aca="false">(1-ORCAMENTO!$O$10)*0</f>
        <v>0</v>
      </c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</row>
    <row r="48" customFormat="false" ht="14.25" hidden="false" customHeight="true" outlineLevel="0" collapsed="false">
      <c r="A48" s="228" t="s">
        <v>341</v>
      </c>
      <c r="B48" s="217" t="s">
        <v>69</v>
      </c>
      <c r="C48" s="228" t="s">
        <v>393</v>
      </c>
      <c r="D48" s="218" t="s">
        <v>394</v>
      </c>
      <c r="E48" s="219" t="s">
        <v>347</v>
      </c>
      <c r="F48" s="220" t="n">
        <v>0.1309</v>
      </c>
      <c r="G48" s="221" t="n">
        <f aca="false">ROUND((1-ORCAMENTO!$O$10)*0.51,2)</f>
        <v>0.51</v>
      </c>
      <c r="H48" s="221" t="n">
        <f aca="false">(1-ORCAMENTO!$O$10)*0.06</f>
        <v>0.06</v>
      </c>
      <c r="I48" s="222" t="n">
        <f aca="false">(1-ORCAMENTO!$O$10)*0</f>
        <v>0</v>
      </c>
      <c r="J48" s="222" t="n">
        <f aca="false">(1-ORCAMENTO!$O$10)*0</f>
        <v>0</v>
      </c>
      <c r="K48" s="222" t="n">
        <f aca="false">(1-ORCAMENTO!$O$10)*0.066759</f>
        <v>0.066759</v>
      </c>
      <c r="L48" s="222" t="n">
        <f aca="false">(1-ORCAMENTO!$O$10)*0</f>
        <v>0</v>
      </c>
      <c r="M48" s="222" t="n">
        <f aca="false">(1-ORCAMENTO!$O$10)*0</f>
        <v>0</v>
      </c>
      <c r="N48" s="150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</row>
    <row r="49" customFormat="false" ht="14.25" hidden="false" customHeight="true" outlineLevel="0" collapsed="false">
      <c r="A49" s="228" t="s">
        <v>341</v>
      </c>
      <c r="B49" s="217" t="s">
        <v>69</v>
      </c>
      <c r="C49" s="228" t="s">
        <v>395</v>
      </c>
      <c r="D49" s="218" t="s">
        <v>177</v>
      </c>
      <c r="E49" s="219" t="s">
        <v>62</v>
      </c>
      <c r="F49" s="220" t="n">
        <v>1</v>
      </c>
      <c r="G49" s="221" t="n">
        <f aca="false">ROUND((1-ORCAMENTO!$O$10)*17.1,2)</f>
        <v>17.1</v>
      </c>
      <c r="H49" s="221" t="n">
        <f aca="false">(1-ORCAMENTO!$O$10)*17.1</f>
        <v>17.1</v>
      </c>
      <c r="I49" s="222" t="n">
        <f aca="false">(1-ORCAMENTO!$O$10)*4.78</f>
        <v>4.78</v>
      </c>
      <c r="J49" s="222" t="n">
        <f aca="false">(1-ORCAMENTO!$O$10)*12.32</f>
        <v>12.32</v>
      </c>
      <c r="K49" s="222" t="n">
        <f aca="false">(1-ORCAMENTO!$O$10)*0</f>
        <v>0</v>
      </c>
      <c r="L49" s="222" t="n">
        <f aca="false">(1-ORCAMENTO!$O$10)*0</f>
        <v>0</v>
      </c>
      <c r="M49" s="222" t="n">
        <f aca="false">(1-ORCAMENTO!$O$10)*0</f>
        <v>0</v>
      </c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</row>
    <row r="50" customFormat="false" ht="14.25" hidden="false" customHeight="true" outlineLevel="0" collapsed="false">
      <c r="A50" s="228"/>
      <c r="B50" s="217"/>
      <c r="C50" s="228"/>
      <c r="D50" s="218"/>
      <c r="E50" s="219"/>
      <c r="F50" s="220"/>
      <c r="G50" s="221"/>
      <c r="H50" s="221"/>
      <c r="I50" s="222"/>
      <c r="J50" s="222"/>
      <c r="K50" s="222"/>
      <c r="L50" s="222"/>
      <c r="M50" s="222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</row>
    <row r="51" customFormat="false" ht="14.25" hidden="false" customHeight="true" outlineLevel="0" collapsed="false">
      <c r="A51" s="223" t="s">
        <v>396</v>
      </c>
      <c r="B51" s="160" t="s">
        <v>69</v>
      </c>
      <c r="C51" s="223"/>
      <c r="D51" s="224" t="s">
        <v>189</v>
      </c>
      <c r="E51" s="159" t="s">
        <v>106</v>
      </c>
      <c r="F51" s="225"/>
      <c r="G51" s="226"/>
      <c r="H51" s="226" t="n">
        <f aca="false">SUM($I$51:$M$51)</f>
        <v>32.59</v>
      </c>
      <c r="I51" s="227" t="n">
        <f aca="false">ROUND((1-ORCAMENTO!$O$10)*20.44,2)</f>
        <v>20.44</v>
      </c>
      <c r="J51" s="227" t="n">
        <f aca="false">ROUND((1-ORCAMENTO!$O$10)*12.15,2)</f>
        <v>12.15</v>
      </c>
      <c r="K51" s="227" t="n">
        <f aca="false">ROUND((1-ORCAMENTO!$O$10)*0,2)</f>
        <v>0</v>
      </c>
      <c r="L51" s="227" t="n">
        <f aca="false">ROUND((1-ORCAMENTO!$O$10)*0,2)</f>
        <v>0</v>
      </c>
      <c r="M51" s="227" t="n">
        <f aca="false">ROUND((1-ORCAMENTO!$O$10)*0,2)</f>
        <v>0</v>
      </c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</row>
    <row r="52" customFormat="false" ht="14.25" hidden="false" customHeight="true" outlineLevel="0" collapsed="false">
      <c r="A52" s="228" t="s">
        <v>341</v>
      </c>
      <c r="B52" s="217" t="s">
        <v>383</v>
      </c>
      <c r="C52" s="228" t="s">
        <v>397</v>
      </c>
      <c r="D52" s="218" t="s">
        <v>398</v>
      </c>
      <c r="E52" s="219" t="s">
        <v>106</v>
      </c>
      <c r="F52" s="220" t="n">
        <v>1.03</v>
      </c>
      <c r="G52" s="221" t="n">
        <f aca="false">ROUND((1-ORCAMENTO!$O$10)*14.61,2)</f>
        <v>14.61</v>
      </c>
      <c r="H52" s="221" t="n">
        <f aca="false">(1-ORCAMENTO!$O$10)*15.04</f>
        <v>15.04</v>
      </c>
      <c r="I52" s="222" t="s">
        <v>386</v>
      </c>
      <c r="J52" s="222" t="s">
        <v>386</v>
      </c>
      <c r="K52" s="222" t="s">
        <v>386</v>
      </c>
      <c r="L52" s="222" t="s">
        <v>386</v>
      </c>
      <c r="M52" s="222" t="s">
        <v>386</v>
      </c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</row>
    <row r="53" customFormat="false" ht="14.25" hidden="false" customHeight="true" outlineLevel="0" collapsed="false">
      <c r="A53" s="228" t="s">
        <v>341</v>
      </c>
      <c r="B53" s="217" t="s">
        <v>69</v>
      </c>
      <c r="C53" s="228" t="s">
        <v>399</v>
      </c>
      <c r="D53" s="218" t="s">
        <v>400</v>
      </c>
      <c r="E53" s="219" t="s">
        <v>71</v>
      </c>
      <c r="F53" s="220" t="n">
        <v>0.2812</v>
      </c>
      <c r="G53" s="221" t="n">
        <f aca="false">ROUND((1-ORCAMENTO!$O$10)*32.55,2)</f>
        <v>32.55</v>
      </c>
      <c r="H53" s="221" t="n">
        <f aca="false">(1-ORCAMENTO!$O$10)*9.15</f>
        <v>9.15</v>
      </c>
      <c r="I53" s="222" t="n">
        <f aca="false">(1-ORCAMENTO!$O$10)*2.213044</f>
        <v>2.213044</v>
      </c>
      <c r="J53" s="222" t="n">
        <f aca="false">(1-ORCAMENTO!$O$10)*6.940016</f>
        <v>6.940016</v>
      </c>
      <c r="K53" s="222" t="n">
        <f aca="false">(1-ORCAMENTO!$O$10)*0</f>
        <v>0</v>
      </c>
      <c r="L53" s="222" t="n">
        <f aca="false">(1-ORCAMENTO!$O$10)*0</f>
        <v>0</v>
      </c>
      <c r="M53" s="222" t="n">
        <f aca="false">(1-ORCAMENTO!$O$10)*0</f>
        <v>0</v>
      </c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</row>
    <row r="54" customFormat="false" ht="14.25" hidden="false" customHeight="true" outlineLevel="0" collapsed="false">
      <c r="A54" s="228" t="s">
        <v>341</v>
      </c>
      <c r="B54" s="217" t="s">
        <v>69</v>
      </c>
      <c r="C54" s="228" t="s">
        <v>348</v>
      </c>
      <c r="D54" s="218" t="s">
        <v>349</v>
      </c>
      <c r="E54" s="219" t="s">
        <v>71</v>
      </c>
      <c r="F54" s="220" t="n">
        <v>0.2812</v>
      </c>
      <c r="G54" s="221" t="n">
        <f aca="false">ROUND((1-ORCAMENTO!$O$10)*25.12,2)</f>
        <v>25.12</v>
      </c>
      <c r="H54" s="221" t="n">
        <f aca="false">(1-ORCAMENTO!$O$10)*7.06</f>
        <v>7.06</v>
      </c>
      <c r="I54" s="222" t="n">
        <f aca="false">(1-ORCAMENTO!$O$10)*2.16524</f>
        <v>2.16524</v>
      </c>
      <c r="J54" s="222" t="n">
        <f aca="false">(1-ORCAMENTO!$O$10)*4.898504</f>
        <v>4.898504</v>
      </c>
      <c r="K54" s="222" t="n">
        <f aca="false">(1-ORCAMENTO!$O$10)*0</f>
        <v>0</v>
      </c>
      <c r="L54" s="222" t="n">
        <f aca="false">(1-ORCAMENTO!$O$10)*0</f>
        <v>0</v>
      </c>
      <c r="M54" s="222" t="n">
        <f aca="false">(1-ORCAMENTO!$O$10)*0</f>
        <v>0</v>
      </c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</row>
    <row r="55" customFormat="false" ht="14.25" hidden="false" customHeight="true" outlineLevel="0" collapsed="false">
      <c r="A55" s="217" t="s">
        <v>341</v>
      </c>
      <c r="B55" s="217" t="s">
        <v>69</v>
      </c>
      <c r="C55" s="228" t="s">
        <v>401</v>
      </c>
      <c r="D55" s="218" t="s">
        <v>402</v>
      </c>
      <c r="E55" s="219" t="s">
        <v>85</v>
      </c>
      <c r="F55" s="220" t="n">
        <v>0.002</v>
      </c>
      <c r="G55" s="221" t="n">
        <f aca="false">ROUND((1-ORCAMENTO!$O$10)*671.56,2)</f>
        <v>671.56</v>
      </c>
      <c r="H55" s="221" t="n">
        <f aca="false">(1-ORCAMENTO!$O$10)*1.34</f>
        <v>1.34</v>
      </c>
      <c r="I55" s="222" t="n">
        <f aca="false">(1-ORCAMENTO!$O$10)*1.04456</f>
        <v>1.04456</v>
      </c>
      <c r="J55" s="222" t="n">
        <f aca="false">(1-ORCAMENTO!$O$10)*0.29856</f>
        <v>0.29856</v>
      </c>
      <c r="K55" s="222" t="n">
        <f aca="false">(1-ORCAMENTO!$O$10)*0</f>
        <v>0</v>
      </c>
      <c r="L55" s="222" t="n">
        <f aca="false">(1-ORCAMENTO!$O$10)*0</f>
        <v>0</v>
      </c>
      <c r="M55" s="222" t="n">
        <f aca="false">(1-ORCAMENTO!$O$10)*0</f>
        <v>0</v>
      </c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</row>
    <row r="56" customFormat="false" ht="14.25" hidden="false" customHeight="true" outlineLevel="0" collapsed="false">
      <c r="A56" s="228"/>
      <c r="B56" s="217"/>
      <c r="C56" s="228"/>
      <c r="D56" s="218"/>
      <c r="E56" s="219"/>
      <c r="F56" s="220"/>
      <c r="G56" s="221"/>
      <c r="H56" s="221"/>
      <c r="I56" s="222"/>
      <c r="J56" s="222"/>
      <c r="K56" s="222"/>
      <c r="L56" s="222"/>
      <c r="M56" s="222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</row>
    <row r="57" customFormat="false" ht="14.25" hidden="false" customHeight="true" outlineLevel="0" collapsed="false">
      <c r="A57" s="223" t="s">
        <v>403</v>
      </c>
      <c r="B57" s="160" t="s">
        <v>69</v>
      </c>
      <c r="C57" s="223"/>
      <c r="D57" s="224" t="s">
        <v>152</v>
      </c>
      <c r="E57" s="159" t="s">
        <v>85</v>
      </c>
      <c r="F57" s="225"/>
      <c r="G57" s="226"/>
      <c r="H57" s="226" t="n">
        <f aca="false">SUM($I$57:$M$57)</f>
        <v>346.12</v>
      </c>
      <c r="I57" s="227" t="n">
        <f aca="false">ROUND((1-ORCAMENTO!$O$10)*95,2)</f>
        <v>95</v>
      </c>
      <c r="J57" s="227" t="n">
        <f aca="false">ROUND((1-ORCAMENTO!$O$10)*249.37,2)</f>
        <v>249.37</v>
      </c>
      <c r="K57" s="227" t="n">
        <f aca="false">ROUND((1-ORCAMENTO!$O$10)*1.38,2)</f>
        <v>1.38</v>
      </c>
      <c r="L57" s="227" t="n">
        <f aca="false">ROUND((1-ORCAMENTO!$O$10)*0,2)</f>
        <v>0</v>
      </c>
      <c r="M57" s="227" t="n">
        <f aca="false">ROUND((1-ORCAMENTO!$O$10)*0.37,2)</f>
        <v>0.37</v>
      </c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</row>
    <row r="58" customFormat="false" ht="14.25" hidden="false" customHeight="true" outlineLevel="0" collapsed="false">
      <c r="A58" s="228" t="s">
        <v>341</v>
      </c>
      <c r="B58" s="217" t="s">
        <v>69</v>
      </c>
      <c r="C58" s="228" t="s">
        <v>404</v>
      </c>
      <c r="D58" s="218" t="s">
        <v>405</v>
      </c>
      <c r="E58" s="219" t="s">
        <v>71</v>
      </c>
      <c r="F58" s="220" t="n">
        <v>2.459</v>
      </c>
      <c r="G58" s="221" t="n">
        <f aca="false">ROUND((1-ORCAMENTO!$O$10)*32.13,2)</f>
        <v>32.13</v>
      </c>
      <c r="H58" s="221" t="n">
        <f aca="false">(1-ORCAMENTO!$O$10)*79</f>
        <v>79</v>
      </c>
      <c r="I58" s="222" t="n">
        <f aca="false">(1-ORCAMENTO!$O$10)*18.90971</f>
        <v>18.90971</v>
      </c>
      <c r="J58" s="222" t="n">
        <f aca="false">(1-ORCAMENTO!$O$10)*60.09796</f>
        <v>60.09796</v>
      </c>
      <c r="K58" s="222" t="n">
        <f aca="false">(1-ORCAMENTO!$O$10)*0</f>
        <v>0</v>
      </c>
      <c r="L58" s="222" t="n">
        <f aca="false">(1-ORCAMENTO!$O$10)*0</f>
        <v>0</v>
      </c>
      <c r="M58" s="222" t="n">
        <f aca="false">(1-ORCAMENTO!$O$10)*0</f>
        <v>0</v>
      </c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</row>
    <row r="59" customFormat="false" ht="14.25" hidden="false" customHeight="true" outlineLevel="0" collapsed="false">
      <c r="A59" s="228" t="s">
        <v>341</v>
      </c>
      <c r="B59" s="217" t="s">
        <v>69</v>
      </c>
      <c r="C59" s="228" t="s">
        <v>399</v>
      </c>
      <c r="D59" s="218" t="s">
        <v>400</v>
      </c>
      <c r="E59" s="219" t="s">
        <v>71</v>
      </c>
      <c r="F59" s="220" t="n">
        <v>2.459</v>
      </c>
      <c r="G59" s="221" t="n">
        <f aca="false">ROUND((1-ORCAMENTO!$O$10)*32.55,2)</f>
        <v>32.55</v>
      </c>
      <c r="H59" s="221" t="n">
        <f aca="false">(1-ORCAMENTO!$O$10)*80.04</f>
        <v>80.04</v>
      </c>
      <c r="I59" s="222" t="n">
        <f aca="false">(1-ORCAMENTO!$O$10)*19.35233</f>
        <v>19.35233</v>
      </c>
      <c r="J59" s="222" t="n">
        <f aca="false">(1-ORCAMENTO!$O$10)*60.68812</f>
        <v>60.68812</v>
      </c>
      <c r="K59" s="222" t="n">
        <f aca="false">(1-ORCAMENTO!$O$10)*0</f>
        <v>0</v>
      </c>
      <c r="L59" s="222" t="n">
        <f aca="false">(1-ORCAMENTO!$O$10)*0</f>
        <v>0</v>
      </c>
      <c r="M59" s="222" t="n">
        <f aca="false">(1-ORCAMENTO!$O$10)*0</f>
        <v>0</v>
      </c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</row>
    <row r="60" customFormat="false" ht="14.25" hidden="false" customHeight="true" outlineLevel="0" collapsed="false">
      <c r="A60" s="228" t="s">
        <v>341</v>
      </c>
      <c r="B60" s="217" t="s">
        <v>69</v>
      </c>
      <c r="C60" s="228" t="s">
        <v>348</v>
      </c>
      <c r="D60" s="218" t="s">
        <v>349</v>
      </c>
      <c r="E60" s="219" t="s">
        <v>71</v>
      </c>
      <c r="F60" s="220" t="n">
        <v>7.377</v>
      </c>
      <c r="G60" s="221" t="n">
        <f aca="false">ROUND((1-ORCAMENTO!$O$10)*25.12,2)</f>
        <v>25.12</v>
      </c>
      <c r="H60" s="221" t="n">
        <f aca="false">(1-ORCAMENTO!$O$10)*185.31</f>
        <v>185.31</v>
      </c>
      <c r="I60" s="222" t="n">
        <f aca="false">(1-ORCAMENTO!$O$10)*56.8029</f>
        <v>56.8029</v>
      </c>
      <c r="J60" s="222" t="n">
        <f aca="false">(1-ORCAMENTO!$O$10)*128.50734</f>
        <v>128.50734</v>
      </c>
      <c r="K60" s="222" t="n">
        <f aca="false">(1-ORCAMENTO!$O$10)*0</f>
        <v>0</v>
      </c>
      <c r="L60" s="222" t="n">
        <f aca="false">(1-ORCAMENTO!$O$10)*0</f>
        <v>0</v>
      </c>
      <c r="M60" s="222" t="n">
        <f aca="false">(1-ORCAMENTO!$O$10)*0</f>
        <v>0</v>
      </c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</row>
    <row r="61" customFormat="false" ht="14.25" hidden="false" customHeight="true" outlineLevel="0" collapsed="false">
      <c r="A61" s="228" t="s">
        <v>341</v>
      </c>
      <c r="B61" s="217" t="s">
        <v>69</v>
      </c>
      <c r="C61" s="228" t="s">
        <v>406</v>
      </c>
      <c r="D61" s="218" t="s">
        <v>407</v>
      </c>
      <c r="E61" s="219" t="s">
        <v>344</v>
      </c>
      <c r="F61" s="220" t="n">
        <v>1.042</v>
      </c>
      <c r="G61" s="221" t="n">
        <f aca="false">ROUND((1-ORCAMENTO!$O$10)*1.11,2)</f>
        <v>1.11</v>
      </c>
      <c r="H61" s="221" t="n">
        <f aca="false">(1-ORCAMENTO!$O$10)*1.15</f>
        <v>1.15</v>
      </c>
      <c r="I61" s="222" t="n">
        <f aca="false">(1-ORCAMENTO!$O$10)*0</f>
        <v>0</v>
      </c>
      <c r="J61" s="222" t="n">
        <f aca="false">(1-ORCAMENTO!$O$10)*0</f>
        <v>0</v>
      </c>
      <c r="K61" s="222" t="n">
        <f aca="false">(1-ORCAMENTO!$O$10)*0.7815</f>
        <v>0.7815</v>
      </c>
      <c r="L61" s="222" t="n">
        <f aca="false">(1-ORCAMENTO!$O$10)*0</f>
        <v>0</v>
      </c>
      <c r="M61" s="222" t="n">
        <f aca="false">(1-ORCAMENTO!$O$10)*0.37512</f>
        <v>0.37512</v>
      </c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</row>
    <row r="62" customFormat="false" ht="14.25" hidden="false" customHeight="true" outlineLevel="0" collapsed="false">
      <c r="A62" s="228" t="s">
        <v>341</v>
      </c>
      <c r="B62" s="217" t="s">
        <v>69</v>
      </c>
      <c r="C62" s="228" t="s">
        <v>408</v>
      </c>
      <c r="D62" s="218" t="s">
        <v>409</v>
      </c>
      <c r="E62" s="219" t="s">
        <v>347</v>
      </c>
      <c r="F62" s="220" t="n">
        <v>1.417</v>
      </c>
      <c r="G62" s="221" t="n">
        <f aca="false">ROUND((1-ORCAMENTO!$O$10)*0.44,2)</f>
        <v>0.44</v>
      </c>
      <c r="H62" s="221" t="n">
        <f aca="false">(1-ORCAMENTO!$O$10)*0.62</f>
        <v>0.62</v>
      </c>
      <c r="I62" s="222" t="n">
        <f aca="false">(1-ORCAMENTO!$O$10)*0</f>
        <v>0</v>
      </c>
      <c r="J62" s="222" t="n">
        <f aca="false">(1-ORCAMENTO!$O$10)*0</f>
        <v>0</v>
      </c>
      <c r="K62" s="222" t="n">
        <f aca="false">(1-ORCAMENTO!$O$10)*0.62348</f>
        <v>0.62348</v>
      </c>
      <c r="L62" s="222" t="n">
        <f aca="false">(1-ORCAMENTO!$O$10)*0</f>
        <v>0</v>
      </c>
      <c r="M62" s="222" t="n">
        <f aca="false">(1-ORCAMENTO!$O$10)*0</f>
        <v>0</v>
      </c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</row>
    <row r="63" customFormat="false" ht="14.25" hidden="false" customHeight="true" outlineLevel="0" collapsed="false">
      <c r="A63" s="228"/>
      <c r="B63" s="217"/>
      <c r="C63" s="228"/>
      <c r="D63" s="218"/>
      <c r="E63" s="219"/>
      <c r="F63" s="220"/>
      <c r="G63" s="221"/>
      <c r="H63" s="221"/>
      <c r="I63" s="222"/>
      <c r="J63" s="222"/>
      <c r="K63" s="222"/>
      <c r="L63" s="222"/>
      <c r="M63" s="222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</row>
    <row r="64" customFormat="false" ht="14.25" hidden="false" customHeight="true" outlineLevel="0" collapsed="false">
      <c r="A64" s="223" t="s">
        <v>410</v>
      </c>
      <c r="B64" s="160" t="s">
        <v>69</v>
      </c>
      <c r="C64" s="223"/>
      <c r="D64" s="224" t="s">
        <v>77</v>
      </c>
      <c r="E64" s="159" t="s">
        <v>71</v>
      </c>
      <c r="F64" s="225"/>
      <c r="G64" s="226"/>
      <c r="H64" s="226" t="n">
        <f aca="false">SUM($I$64:$M$64)</f>
        <v>12.9</v>
      </c>
      <c r="I64" s="227" t="n">
        <f aca="false">ROUND((1-ORCAMENTO!$O$10)*1.96,2)</f>
        <v>1.96</v>
      </c>
      <c r="J64" s="227" t="n">
        <f aca="false">ROUND((1-ORCAMENTO!$O$10)*10.94,2)</f>
        <v>10.94</v>
      </c>
      <c r="K64" s="227" t="n">
        <f aca="false">ROUND((1-ORCAMENTO!$O$10)*0,2)</f>
        <v>0</v>
      </c>
      <c r="L64" s="227" t="n">
        <f aca="false">ROUND((1-ORCAMENTO!$O$10)*0,2)</f>
        <v>0</v>
      </c>
      <c r="M64" s="227" t="n">
        <f aca="false">ROUND((1-ORCAMENTO!$O$10)*0,2)</f>
        <v>0</v>
      </c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</row>
    <row r="65" customFormat="false" ht="14.25" hidden="false" customHeight="true" outlineLevel="0" collapsed="false">
      <c r="A65" s="228" t="s">
        <v>341</v>
      </c>
      <c r="B65" s="217" t="s">
        <v>383</v>
      </c>
      <c r="C65" s="228" t="s">
        <v>411</v>
      </c>
      <c r="D65" s="218" t="s">
        <v>412</v>
      </c>
      <c r="E65" s="219" t="s">
        <v>71</v>
      </c>
      <c r="F65" s="220" t="n">
        <v>1</v>
      </c>
      <c r="G65" s="221" t="n">
        <f aca="false">ROUND((1-ORCAMENTO!$O$10)*10.85,2)</f>
        <v>10.85</v>
      </c>
      <c r="H65" s="221" t="n">
        <f aca="false">(1-ORCAMENTO!$O$10)*10.85</f>
        <v>10.85</v>
      </c>
      <c r="I65" s="222" t="s">
        <v>386</v>
      </c>
      <c r="J65" s="222" t="s">
        <v>386</v>
      </c>
      <c r="K65" s="222" t="s">
        <v>386</v>
      </c>
      <c r="L65" s="222" t="s">
        <v>386</v>
      </c>
      <c r="M65" s="222" t="s">
        <v>386</v>
      </c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</row>
    <row r="66" customFormat="false" ht="14.25" hidden="false" customHeight="true" outlineLevel="0" collapsed="false">
      <c r="A66" s="217" t="s">
        <v>341</v>
      </c>
      <c r="B66" s="217" t="s">
        <v>383</v>
      </c>
      <c r="C66" s="228" t="s">
        <v>413</v>
      </c>
      <c r="D66" s="218" t="s">
        <v>414</v>
      </c>
      <c r="E66" s="219" t="s">
        <v>71</v>
      </c>
      <c r="F66" s="220" t="n">
        <v>1</v>
      </c>
      <c r="G66" s="221" t="n">
        <f aca="false">ROUND((1-ORCAMENTO!$O$10)*1.14,2)</f>
        <v>1.14</v>
      </c>
      <c r="H66" s="221" t="n">
        <f aca="false">(1-ORCAMENTO!$O$10)*1.14</f>
        <v>1.14</v>
      </c>
      <c r="I66" s="222" t="s">
        <v>386</v>
      </c>
      <c r="J66" s="222" t="s">
        <v>386</v>
      </c>
      <c r="K66" s="222" t="s">
        <v>386</v>
      </c>
      <c r="L66" s="222" t="s">
        <v>386</v>
      </c>
      <c r="M66" s="222" t="s">
        <v>386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customFormat="false" ht="14.25" hidden="false" customHeight="true" outlineLevel="0" collapsed="false">
      <c r="A67" s="228" t="s">
        <v>341</v>
      </c>
      <c r="B67" s="217" t="s">
        <v>383</v>
      </c>
      <c r="C67" s="228" t="s">
        <v>415</v>
      </c>
      <c r="D67" s="218" t="s">
        <v>416</v>
      </c>
      <c r="E67" s="219" t="s">
        <v>71</v>
      </c>
      <c r="F67" s="220" t="n">
        <v>1</v>
      </c>
      <c r="G67" s="221" t="n">
        <f aca="false">ROUND((1-ORCAMENTO!$O$10)*0.07,2)</f>
        <v>0.07</v>
      </c>
      <c r="H67" s="221" t="n">
        <f aca="false">(1-ORCAMENTO!$O$10)*0.07</f>
        <v>0.07</v>
      </c>
      <c r="I67" s="222" t="s">
        <v>386</v>
      </c>
      <c r="J67" s="222" t="s">
        <v>386</v>
      </c>
      <c r="K67" s="222" t="s">
        <v>386</v>
      </c>
      <c r="L67" s="222" t="s">
        <v>386</v>
      </c>
      <c r="M67" s="222" t="s">
        <v>386</v>
      </c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</row>
    <row r="68" customFormat="false" ht="14.25" hidden="false" customHeight="true" outlineLevel="0" collapsed="false">
      <c r="A68" s="228" t="s">
        <v>341</v>
      </c>
      <c r="B68" s="217" t="s">
        <v>383</v>
      </c>
      <c r="C68" s="228" t="s">
        <v>417</v>
      </c>
      <c r="D68" s="218" t="s">
        <v>418</v>
      </c>
      <c r="E68" s="219" t="s">
        <v>71</v>
      </c>
      <c r="F68" s="220" t="n">
        <v>1</v>
      </c>
      <c r="G68" s="221" t="n">
        <f aca="false">ROUND((1-ORCAMENTO!$O$10)*0.08,2)</f>
        <v>0.08</v>
      </c>
      <c r="H68" s="221" t="n">
        <f aca="false">(1-ORCAMENTO!$O$10)*0.08</f>
        <v>0.08</v>
      </c>
      <c r="I68" s="222" t="s">
        <v>386</v>
      </c>
      <c r="J68" s="222" t="s">
        <v>386</v>
      </c>
      <c r="K68" s="222" t="s">
        <v>386</v>
      </c>
      <c r="L68" s="222" t="s">
        <v>386</v>
      </c>
      <c r="M68" s="222" t="s">
        <v>386</v>
      </c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</row>
    <row r="69" customFormat="false" ht="14.25" hidden="false" customHeight="true" outlineLevel="0" collapsed="false">
      <c r="A69" s="228" t="s">
        <v>341</v>
      </c>
      <c r="B69" s="217" t="s">
        <v>383</v>
      </c>
      <c r="C69" s="228" t="s">
        <v>419</v>
      </c>
      <c r="D69" s="218" t="s">
        <v>420</v>
      </c>
      <c r="E69" s="219" t="s">
        <v>71</v>
      </c>
      <c r="F69" s="220" t="n">
        <v>1</v>
      </c>
      <c r="G69" s="221" t="n">
        <f aca="false">ROUND((1-ORCAMENTO!$O$10)*0.67,2)</f>
        <v>0.67</v>
      </c>
      <c r="H69" s="221" t="n">
        <f aca="false">(1-ORCAMENTO!$O$10)*0.67</f>
        <v>0.67</v>
      </c>
      <c r="I69" s="222" t="s">
        <v>386</v>
      </c>
      <c r="J69" s="222" t="s">
        <v>386</v>
      </c>
      <c r="K69" s="222" t="s">
        <v>386</v>
      </c>
      <c r="L69" s="222" t="s">
        <v>386</v>
      </c>
      <c r="M69" s="222" t="s">
        <v>386</v>
      </c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</row>
    <row r="70" customFormat="false" ht="14.25" hidden="false" customHeight="true" outlineLevel="0" collapsed="false">
      <c r="A70" s="228" t="s">
        <v>341</v>
      </c>
      <c r="B70" s="217" t="s">
        <v>69</v>
      </c>
      <c r="C70" s="228" t="s">
        <v>421</v>
      </c>
      <c r="D70" s="218" t="s">
        <v>422</v>
      </c>
      <c r="E70" s="219" t="s">
        <v>71</v>
      </c>
      <c r="F70" s="220" t="n">
        <v>1</v>
      </c>
      <c r="G70" s="221" t="n">
        <f aca="false">ROUND((1-ORCAMENTO!$O$10)*0.09,2)</f>
        <v>0.09</v>
      </c>
      <c r="H70" s="221" t="n">
        <f aca="false">(1-ORCAMENTO!$O$10)*0.09</f>
        <v>0.09</v>
      </c>
      <c r="I70" s="222" t="n">
        <f aca="false">(1-ORCAMENTO!$O$10)*0</f>
        <v>0</v>
      </c>
      <c r="J70" s="222" t="n">
        <f aca="false">(1-ORCAMENTO!$O$10)*0.09</f>
        <v>0.09</v>
      </c>
      <c r="K70" s="222" t="n">
        <f aca="false">(1-ORCAMENTO!$O$10)*0</f>
        <v>0</v>
      </c>
      <c r="L70" s="222" t="n">
        <f aca="false">(1-ORCAMENTO!$O$10)*0</f>
        <v>0</v>
      </c>
      <c r="M70" s="222" t="n">
        <f aca="false">(1-ORCAMENTO!$O$10)*0</f>
        <v>0</v>
      </c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</row>
    <row r="71" customFormat="false" ht="14.25" hidden="false" customHeight="true" outlineLevel="0" collapsed="false">
      <c r="A71" s="228"/>
      <c r="B71" s="217"/>
      <c r="C71" s="228"/>
      <c r="D71" s="218"/>
      <c r="E71" s="219"/>
      <c r="F71" s="220"/>
      <c r="G71" s="221"/>
      <c r="H71" s="221"/>
      <c r="I71" s="222"/>
      <c r="J71" s="222"/>
      <c r="K71" s="222"/>
      <c r="L71" s="222"/>
      <c r="M71" s="222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</row>
    <row r="72" customFormat="false" ht="14.25" hidden="false" customHeight="true" outlineLevel="0" collapsed="false">
      <c r="A72" s="223" t="s">
        <v>423</v>
      </c>
      <c r="B72" s="160" t="s">
        <v>69</v>
      </c>
      <c r="C72" s="223"/>
      <c r="D72" s="224" t="s">
        <v>97</v>
      </c>
      <c r="E72" s="159" t="s">
        <v>85</v>
      </c>
      <c r="F72" s="225"/>
      <c r="G72" s="226"/>
      <c r="H72" s="226" t="n">
        <f aca="false">SUM($I$72:$M$72)</f>
        <v>8.54</v>
      </c>
      <c r="I72" s="227" t="n">
        <f aca="false">ROUND((1-ORCAMENTO!$O$10)*2.3,2)</f>
        <v>2.3</v>
      </c>
      <c r="J72" s="227" t="n">
        <f aca="false">ROUND((1-ORCAMENTO!$O$10)*3.2,2)</f>
        <v>3.2</v>
      </c>
      <c r="K72" s="227" t="n">
        <f aca="false">ROUND((1-ORCAMENTO!$O$10)*3.04,2)</f>
        <v>3.04</v>
      </c>
      <c r="L72" s="227" t="n">
        <f aca="false">ROUND((1-ORCAMENTO!$O$10)*0,2)</f>
        <v>0</v>
      </c>
      <c r="M72" s="227" t="n">
        <f aca="false">ROUND((1-ORCAMENTO!$O$10)*0,2)</f>
        <v>0</v>
      </c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</row>
    <row r="73" customFormat="false" ht="14.25" hidden="false" customHeight="true" outlineLevel="0" collapsed="false">
      <c r="A73" s="228" t="s">
        <v>341</v>
      </c>
      <c r="B73" s="217" t="s">
        <v>69</v>
      </c>
      <c r="C73" s="228" t="s">
        <v>424</v>
      </c>
      <c r="D73" s="218" t="s">
        <v>425</v>
      </c>
      <c r="E73" s="219" t="s">
        <v>344</v>
      </c>
      <c r="F73" s="220" t="n">
        <v>0.0324</v>
      </c>
      <c r="G73" s="221" t="n">
        <f aca="false">ROUND((1-ORCAMENTO!$O$10)*133.8,2)</f>
        <v>133.8</v>
      </c>
      <c r="H73" s="221" t="n">
        <f aca="false">(1-ORCAMENTO!$O$10)*4.33</f>
        <v>4.33</v>
      </c>
      <c r="I73" s="222" t="n">
        <f aca="false">(1-ORCAMENTO!$O$10)*1.543212</f>
        <v>1.543212</v>
      </c>
      <c r="J73" s="222" t="n">
        <f aca="false">(1-ORCAMENTO!$O$10)*0.862812</f>
        <v>0.862812</v>
      </c>
      <c r="K73" s="222" t="n">
        <f aca="false">(1-ORCAMENTO!$O$10)*1.929096</f>
        <v>1.929096</v>
      </c>
      <c r="L73" s="222" t="n">
        <f aca="false">(1-ORCAMENTO!$O$10)*0</f>
        <v>0</v>
      </c>
      <c r="M73" s="222" t="n">
        <f aca="false">(1-ORCAMENTO!$O$10)*0</f>
        <v>0</v>
      </c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</row>
    <row r="74" customFormat="false" ht="14.25" hidden="false" customHeight="true" outlineLevel="0" collapsed="false">
      <c r="A74" s="228" t="s">
        <v>341</v>
      </c>
      <c r="B74" s="217" t="s">
        <v>69</v>
      </c>
      <c r="C74" s="228" t="s">
        <v>426</v>
      </c>
      <c r="D74" s="218" t="s">
        <v>427</v>
      </c>
      <c r="E74" s="219" t="s">
        <v>347</v>
      </c>
      <c r="F74" s="220" t="n">
        <v>0.0392</v>
      </c>
      <c r="G74" s="221" t="n">
        <f aca="false">ROUND((1-ORCAMENTO!$O$10)*61.66,2)</f>
        <v>61.66</v>
      </c>
      <c r="H74" s="221" t="n">
        <f aca="false">(1-ORCAMENTO!$O$10)*2.41</f>
        <v>2.41</v>
      </c>
      <c r="I74" s="222" t="n">
        <f aca="false">(1-ORCAMENTO!$O$10)*0.262248</f>
        <v>0.262248</v>
      </c>
      <c r="J74" s="222" t="n">
        <f aca="false">(1-ORCAMENTO!$O$10)*1.043896</f>
        <v>1.043896</v>
      </c>
      <c r="K74" s="222" t="n">
        <f aca="false">(1-ORCAMENTO!$O$10)*1.110928</f>
        <v>1.110928</v>
      </c>
      <c r="L74" s="222" t="n">
        <f aca="false">(1-ORCAMENTO!$O$10)*0</f>
        <v>0</v>
      </c>
      <c r="M74" s="222" t="n">
        <f aca="false">(1-ORCAMENTO!$O$10)*0</f>
        <v>0</v>
      </c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</row>
    <row r="75" customFormat="false" ht="14.25" hidden="false" customHeight="true" outlineLevel="0" collapsed="false">
      <c r="A75" s="228" t="s">
        <v>341</v>
      </c>
      <c r="B75" s="217" t="s">
        <v>69</v>
      </c>
      <c r="C75" s="228" t="s">
        <v>348</v>
      </c>
      <c r="D75" s="218" t="s">
        <v>349</v>
      </c>
      <c r="E75" s="219" t="s">
        <v>71</v>
      </c>
      <c r="F75" s="220" t="n">
        <v>0.0717</v>
      </c>
      <c r="G75" s="221" t="n">
        <f aca="false">ROUND((1-ORCAMENTO!$O$10)*25.12,2)</f>
        <v>25.12</v>
      </c>
      <c r="H75" s="221" t="n">
        <f aca="false">(1-ORCAMENTO!$O$10)*1.8</f>
        <v>1.8</v>
      </c>
      <c r="I75" s="222" t="n">
        <f aca="false">(1-ORCAMENTO!$O$10)*0.55209</f>
        <v>0.55209</v>
      </c>
      <c r="J75" s="222" t="n">
        <f aca="false">(1-ORCAMENTO!$O$10)*1.249014</f>
        <v>1.249014</v>
      </c>
      <c r="K75" s="222" t="n">
        <f aca="false">(1-ORCAMENTO!$O$10)*0</f>
        <v>0</v>
      </c>
      <c r="L75" s="222" t="n">
        <f aca="false">(1-ORCAMENTO!$O$10)*0</f>
        <v>0</v>
      </c>
      <c r="M75" s="222" t="n">
        <f aca="false">(1-ORCAMENTO!$O$10)*0</f>
        <v>0</v>
      </c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</row>
    <row r="76" customFormat="false" ht="14.25" hidden="false" customHeight="true" outlineLevel="0" collapsed="false">
      <c r="A76" s="228"/>
      <c r="B76" s="217"/>
      <c r="C76" s="228"/>
      <c r="D76" s="218"/>
      <c r="E76" s="219"/>
      <c r="F76" s="220"/>
      <c r="G76" s="221"/>
      <c r="H76" s="221"/>
      <c r="I76" s="222"/>
      <c r="J76" s="222"/>
      <c r="K76" s="222"/>
      <c r="L76" s="222"/>
      <c r="M76" s="222"/>
      <c r="N76" s="150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</row>
    <row r="77" customFormat="false" ht="14.25" hidden="false" customHeight="true" outlineLevel="0" collapsed="false">
      <c r="A77" s="223" t="s">
        <v>428</v>
      </c>
      <c r="B77" s="160" t="s">
        <v>69</v>
      </c>
      <c r="C77" s="223"/>
      <c r="D77" s="224" t="s">
        <v>73</v>
      </c>
      <c r="E77" s="159" t="s">
        <v>71</v>
      </c>
      <c r="F77" s="225"/>
      <c r="G77" s="226"/>
      <c r="H77" s="226" t="n">
        <f aca="false">SUM($I$77:$M$77)</f>
        <v>37.66</v>
      </c>
      <c r="I77" s="227" t="n">
        <f aca="false">ROUND((1-ORCAMENTO!$O$10)*2.49,2)</f>
        <v>2.49</v>
      </c>
      <c r="J77" s="227" t="n">
        <f aca="false">ROUND((1-ORCAMENTO!$O$10)*35.17,2)</f>
        <v>35.17</v>
      </c>
      <c r="K77" s="227" t="n">
        <f aca="false">ROUND((1-ORCAMENTO!$O$10)*0,2)</f>
        <v>0</v>
      </c>
      <c r="L77" s="227" t="n">
        <f aca="false">ROUND((1-ORCAMENTO!$O$10)*0,2)</f>
        <v>0</v>
      </c>
      <c r="M77" s="227" t="n">
        <f aca="false">ROUND((1-ORCAMENTO!$O$10)*0,2)</f>
        <v>0</v>
      </c>
      <c r="N77" s="150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</row>
    <row r="78" customFormat="false" ht="14.25" hidden="false" customHeight="true" outlineLevel="0" collapsed="false">
      <c r="A78" s="228" t="s">
        <v>341</v>
      </c>
      <c r="B78" s="217" t="s">
        <v>383</v>
      </c>
      <c r="C78" s="228" t="s">
        <v>429</v>
      </c>
      <c r="D78" s="218" t="s">
        <v>430</v>
      </c>
      <c r="E78" s="219" t="s">
        <v>71</v>
      </c>
      <c r="F78" s="220" t="n">
        <v>1</v>
      </c>
      <c r="G78" s="221" t="n">
        <f aca="false">ROUND((1-ORCAMENTO!$O$10)*34.41,2)</f>
        <v>34.41</v>
      </c>
      <c r="H78" s="221" t="n">
        <f aca="false">(1-ORCAMENTO!$O$10)*34.41</f>
        <v>34.41</v>
      </c>
      <c r="I78" s="222" t="s">
        <v>386</v>
      </c>
      <c r="J78" s="222" t="s">
        <v>386</v>
      </c>
      <c r="K78" s="222" t="s">
        <v>386</v>
      </c>
      <c r="L78" s="222" t="s">
        <v>386</v>
      </c>
      <c r="M78" s="222" t="s">
        <v>386</v>
      </c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</row>
    <row r="79" customFormat="false" ht="14.25" hidden="false" customHeight="true" outlineLevel="0" collapsed="false">
      <c r="A79" s="217" t="s">
        <v>341</v>
      </c>
      <c r="B79" s="217" t="s">
        <v>383</v>
      </c>
      <c r="C79" s="228" t="s">
        <v>413</v>
      </c>
      <c r="D79" s="218" t="s">
        <v>414</v>
      </c>
      <c r="E79" s="219" t="s">
        <v>71</v>
      </c>
      <c r="F79" s="220" t="n">
        <v>1</v>
      </c>
      <c r="G79" s="221" t="n">
        <f aca="false">ROUND((1-ORCAMENTO!$O$10)*1.14,2)</f>
        <v>1.14</v>
      </c>
      <c r="H79" s="221" t="n">
        <f aca="false">(1-ORCAMENTO!$O$10)*1.14</f>
        <v>1.14</v>
      </c>
      <c r="I79" s="222" t="s">
        <v>386</v>
      </c>
      <c r="J79" s="222" t="s">
        <v>386</v>
      </c>
      <c r="K79" s="222" t="s">
        <v>386</v>
      </c>
      <c r="L79" s="222" t="s">
        <v>386</v>
      </c>
      <c r="M79" s="222" t="s">
        <v>386</v>
      </c>
      <c r="N79" s="150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50"/>
      <c r="Z79" s="150"/>
    </row>
    <row r="80" customFormat="false" ht="14.25" hidden="false" customHeight="true" outlineLevel="0" collapsed="false">
      <c r="A80" s="217" t="s">
        <v>341</v>
      </c>
      <c r="B80" s="217" t="s">
        <v>383</v>
      </c>
      <c r="C80" s="228" t="s">
        <v>415</v>
      </c>
      <c r="D80" s="218" t="s">
        <v>416</v>
      </c>
      <c r="E80" s="219" t="s">
        <v>71</v>
      </c>
      <c r="F80" s="220" t="n">
        <v>1</v>
      </c>
      <c r="G80" s="221" t="n">
        <f aca="false">ROUND((1-ORCAMENTO!$O$10)*0.07,2)</f>
        <v>0.07</v>
      </c>
      <c r="H80" s="221" t="n">
        <f aca="false">(1-ORCAMENTO!$O$10)*0.07</f>
        <v>0.07</v>
      </c>
      <c r="I80" s="222" t="s">
        <v>386</v>
      </c>
      <c r="J80" s="222" t="s">
        <v>386</v>
      </c>
      <c r="K80" s="222" t="s">
        <v>386</v>
      </c>
      <c r="L80" s="222" t="s">
        <v>386</v>
      </c>
      <c r="M80" s="222" t="s">
        <v>386</v>
      </c>
      <c r="N80" s="150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</row>
    <row r="81" customFormat="false" ht="14.25" hidden="false" customHeight="true" outlineLevel="0" collapsed="false">
      <c r="A81" s="228" t="s">
        <v>341</v>
      </c>
      <c r="B81" s="217" t="s">
        <v>383</v>
      </c>
      <c r="C81" s="228" t="s">
        <v>431</v>
      </c>
      <c r="D81" s="218" t="s">
        <v>432</v>
      </c>
      <c r="E81" s="219" t="s">
        <v>71</v>
      </c>
      <c r="F81" s="220" t="n">
        <v>1</v>
      </c>
      <c r="G81" s="221" t="n">
        <f aca="false">ROUND((1-ORCAMENTO!$O$10)*0.11,2)</f>
        <v>0.11</v>
      </c>
      <c r="H81" s="221" t="n">
        <f aca="false">(1-ORCAMENTO!$O$10)*0.11</f>
        <v>0.11</v>
      </c>
      <c r="I81" s="222" t="s">
        <v>386</v>
      </c>
      <c r="J81" s="222" t="s">
        <v>386</v>
      </c>
      <c r="K81" s="222" t="s">
        <v>386</v>
      </c>
      <c r="L81" s="222" t="s">
        <v>386</v>
      </c>
      <c r="M81" s="222" t="s">
        <v>386</v>
      </c>
      <c r="N81" s="150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</row>
    <row r="82" customFormat="false" ht="14.25" hidden="false" customHeight="true" outlineLevel="0" collapsed="false">
      <c r="A82" s="228" t="s">
        <v>341</v>
      </c>
      <c r="B82" s="217" t="s">
        <v>383</v>
      </c>
      <c r="C82" s="228" t="s">
        <v>433</v>
      </c>
      <c r="D82" s="218" t="s">
        <v>434</v>
      </c>
      <c r="E82" s="219" t="s">
        <v>71</v>
      </c>
      <c r="F82" s="220" t="n">
        <v>1</v>
      </c>
      <c r="G82" s="221" t="n">
        <f aca="false">ROUND((1-ORCAMENTO!$O$10)*1.17,2)</f>
        <v>1.17</v>
      </c>
      <c r="H82" s="221" t="n">
        <f aca="false">(1-ORCAMENTO!$O$10)*1.17</f>
        <v>1.17</v>
      </c>
      <c r="I82" s="222" t="s">
        <v>386</v>
      </c>
      <c r="J82" s="222" t="s">
        <v>386</v>
      </c>
      <c r="K82" s="222" t="s">
        <v>386</v>
      </c>
      <c r="L82" s="222" t="s">
        <v>386</v>
      </c>
      <c r="M82" s="222" t="s">
        <v>386</v>
      </c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</row>
    <row r="83" customFormat="false" ht="14.25" hidden="false" customHeight="true" outlineLevel="0" collapsed="false">
      <c r="A83" s="228" t="s">
        <v>341</v>
      </c>
      <c r="B83" s="217" t="s">
        <v>69</v>
      </c>
      <c r="C83" s="228" t="s">
        <v>435</v>
      </c>
      <c r="D83" s="218" t="s">
        <v>436</v>
      </c>
      <c r="E83" s="219" t="s">
        <v>71</v>
      </c>
      <c r="F83" s="220" t="n">
        <v>1</v>
      </c>
      <c r="G83" s="221" t="n">
        <f aca="false">ROUND((1-ORCAMENTO!$O$10)*0.76,2)</f>
        <v>0.76</v>
      </c>
      <c r="H83" s="221" t="n">
        <f aca="false">(1-ORCAMENTO!$O$10)*0.76</f>
        <v>0.76</v>
      </c>
      <c r="I83" s="222" t="n">
        <f aca="false">(1-ORCAMENTO!$O$10)*0</f>
        <v>0</v>
      </c>
      <c r="J83" s="222" t="n">
        <f aca="false">(1-ORCAMENTO!$O$10)*0.76</f>
        <v>0.76</v>
      </c>
      <c r="K83" s="222" t="n">
        <f aca="false">(1-ORCAMENTO!$O$10)*0</f>
        <v>0</v>
      </c>
      <c r="L83" s="222" t="n">
        <f aca="false">(1-ORCAMENTO!$O$10)*0</f>
        <v>0</v>
      </c>
      <c r="M83" s="222" t="n">
        <f aca="false">(1-ORCAMENTO!$O$10)*0</f>
        <v>0</v>
      </c>
      <c r="N83" s="150"/>
      <c r="O83" s="150"/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</row>
    <row r="84" customFormat="false" ht="14.25" hidden="false" customHeight="true" outlineLevel="0" collapsed="false">
      <c r="A84" s="228"/>
      <c r="B84" s="217"/>
      <c r="C84" s="228"/>
      <c r="D84" s="218"/>
      <c r="E84" s="219"/>
      <c r="F84" s="220"/>
      <c r="G84" s="221"/>
      <c r="H84" s="221"/>
      <c r="I84" s="222"/>
      <c r="J84" s="222"/>
      <c r="K84" s="222"/>
      <c r="L84" s="222"/>
      <c r="M84" s="222"/>
      <c r="N84" s="150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</row>
    <row r="85" customFormat="false" ht="14.25" hidden="false" customHeight="true" outlineLevel="0" collapsed="false">
      <c r="A85" s="223" t="s">
        <v>437</v>
      </c>
      <c r="B85" s="160" t="s">
        <v>69</v>
      </c>
      <c r="C85" s="223"/>
      <c r="D85" s="224" t="s">
        <v>70</v>
      </c>
      <c r="E85" s="159" t="s">
        <v>71</v>
      </c>
      <c r="F85" s="225"/>
      <c r="G85" s="226"/>
      <c r="H85" s="226" t="n">
        <f aca="false">SUM($I$85:$M$85)</f>
        <v>114.31</v>
      </c>
      <c r="I85" s="227" t="n">
        <f aca="false">ROUND((1-ORCAMENTO!$O$10)*1.93,2)</f>
        <v>1.93</v>
      </c>
      <c r="J85" s="227" t="n">
        <f aca="false">ROUND((1-ORCAMENTO!$O$10)*112.38,2)</f>
        <v>112.38</v>
      </c>
      <c r="K85" s="227" t="n">
        <f aca="false">ROUND((1-ORCAMENTO!$O$10)*0,2)</f>
        <v>0</v>
      </c>
      <c r="L85" s="227" t="n">
        <f aca="false">ROUND((1-ORCAMENTO!$O$10)*0,2)</f>
        <v>0</v>
      </c>
      <c r="M85" s="227" t="n">
        <f aca="false">ROUND((1-ORCAMENTO!$O$10)*0,2)</f>
        <v>0</v>
      </c>
      <c r="N85" s="150"/>
      <c r="O85" s="150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</row>
    <row r="86" customFormat="false" ht="14.25" hidden="false" customHeight="true" outlineLevel="0" collapsed="false">
      <c r="A86" s="228" t="s">
        <v>341</v>
      </c>
      <c r="B86" s="217" t="s">
        <v>383</v>
      </c>
      <c r="C86" s="228" t="s">
        <v>438</v>
      </c>
      <c r="D86" s="218" t="s">
        <v>439</v>
      </c>
      <c r="E86" s="219" t="s">
        <v>71</v>
      </c>
      <c r="F86" s="220" t="n">
        <v>1</v>
      </c>
      <c r="G86" s="221" t="n">
        <f aca="false">ROUND((1-ORCAMENTO!$O$10)*110.67,2)</f>
        <v>110.67</v>
      </c>
      <c r="H86" s="221" t="n">
        <f aca="false">(1-ORCAMENTO!$O$10)*110.67</f>
        <v>110.67</v>
      </c>
      <c r="I86" s="222" t="s">
        <v>386</v>
      </c>
      <c r="J86" s="222" t="s">
        <v>386</v>
      </c>
      <c r="K86" s="222" t="s">
        <v>386</v>
      </c>
      <c r="L86" s="222" t="s">
        <v>386</v>
      </c>
      <c r="M86" s="222" t="s">
        <v>386</v>
      </c>
      <c r="N86" s="150"/>
      <c r="O86" s="150"/>
      <c r="P86" s="150"/>
      <c r="Q86" s="150"/>
      <c r="R86" s="150"/>
      <c r="S86" s="150"/>
      <c r="T86" s="150"/>
      <c r="U86" s="150"/>
      <c r="V86" s="150"/>
      <c r="W86" s="150"/>
      <c r="X86" s="150"/>
      <c r="Y86" s="150"/>
      <c r="Z86" s="150"/>
    </row>
    <row r="87" customFormat="false" ht="14.25" hidden="false" customHeight="true" outlineLevel="0" collapsed="false">
      <c r="A87" s="228" t="s">
        <v>341</v>
      </c>
      <c r="B87" s="217" t="s">
        <v>383</v>
      </c>
      <c r="C87" s="228" t="s">
        <v>413</v>
      </c>
      <c r="D87" s="218" t="s">
        <v>414</v>
      </c>
      <c r="E87" s="219" t="s">
        <v>71</v>
      </c>
      <c r="F87" s="220" t="n">
        <v>1</v>
      </c>
      <c r="G87" s="221" t="n">
        <f aca="false">ROUND((1-ORCAMENTO!$O$10)*1.14,2)</f>
        <v>1.14</v>
      </c>
      <c r="H87" s="221" t="n">
        <f aca="false">(1-ORCAMENTO!$O$10)*1.14</f>
        <v>1.14</v>
      </c>
      <c r="I87" s="222" t="s">
        <v>386</v>
      </c>
      <c r="J87" s="222" t="s">
        <v>386</v>
      </c>
      <c r="K87" s="222" t="s">
        <v>386</v>
      </c>
      <c r="L87" s="222" t="s">
        <v>386</v>
      </c>
      <c r="M87" s="222" t="s">
        <v>386</v>
      </c>
      <c r="N87" s="150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</row>
    <row r="88" customFormat="false" ht="14.25" hidden="false" customHeight="true" outlineLevel="0" collapsed="false">
      <c r="A88" s="228" t="s">
        <v>341</v>
      </c>
      <c r="B88" s="217" t="s">
        <v>383</v>
      </c>
      <c r="C88" s="228" t="s">
        <v>415</v>
      </c>
      <c r="D88" s="218" t="s">
        <v>416</v>
      </c>
      <c r="E88" s="219" t="s">
        <v>71</v>
      </c>
      <c r="F88" s="220" t="n">
        <v>1</v>
      </c>
      <c r="G88" s="221" t="n">
        <f aca="false">ROUND((1-ORCAMENTO!$O$10)*0.07,2)</f>
        <v>0.07</v>
      </c>
      <c r="H88" s="221" t="n">
        <f aca="false">(1-ORCAMENTO!$O$10)*0.07</f>
        <v>0.07</v>
      </c>
      <c r="I88" s="222" t="s">
        <v>386</v>
      </c>
      <c r="J88" s="222" t="s">
        <v>386</v>
      </c>
      <c r="K88" s="222" t="s">
        <v>386</v>
      </c>
      <c r="L88" s="222" t="s">
        <v>386</v>
      </c>
      <c r="M88" s="222" t="s">
        <v>386</v>
      </c>
      <c r="N88" s="150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</row>
    <row r="89" customFormat="false" ht="14.25" hidden="false" customHeight="true" outlineLevel="0" collapsed="false">
      <c r="A89" s="217" t="s">
        <v>341</v>
      </c>
      <c r="B89" s="217" t="s">
        <v>383</v>
      </c>
      <c r="C89" s="228" t="s">
        <v>440</v>
      </c>
      <c r="D89" s="218" t="s">
        <v>441</v>
      </c>
      <c r="E89" s="219" t="s">
        <v>71</v>
      </c>
      <c r="F89" s="220" t="n">
        <v>1</v>
      </c>
      <c r="G89" s="221" t="n">
        <f aca="false">ROUND((1-ORCAMENTO!$O$10)*0.01,2)</f>
        <v>0.01</v>
      </c>
      <c r="H89" s="221" t="n">
        <f aca="false">(1-ORCAMENTO!$O$10)*0.01</f>
        <v>0.01</v>
      </c>
      <c r="I89" s="222" t="s">
        <v>386</v>
      </c>
      <c r="J89" s="222" t="s">
        <v>386</v>
      </c>
      <c r="K89" s="222" t="s">
        <v>386</v>
      </c>
      <c r="L89" s="222" t="s">
        <v>386</v>
      </c>
      <c r="M89" s="222" t="s">
        <v>386</v>
      </c>
      <c r="N89" s="150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</row>
    <row r="90" customFormat="false" ht="14.25" hidden="false" customHeight="true" outlineLevel="0" collapsed="false">
      <c r="A90" s="228" t="s">
        <v>341</v>
      </c>
      <c r="B90" s="217" t="s">
        <v>383</v>
      </c>
      <c r="C90" s="228" t="s">
        <v>442</v>
      </c>
      <c r="D90" s="218" t="s">
        <v>443</v>
      </c>
      <c r="E90" s="219" t="s">
        <v>71</v>
      </c>
      <c r="F90" s="220" t="n">
        <v>1</v>
      </c>
      <c r="G90" s="221" t="n">
        <f aca="false">ROUND((1-ORCAMENTO!$O$10)*0.71,2)</f>
        <v>0.71</v>
      </c>
      <c r="H90" s="221" t="n">
        <f aca="false">(1-ORCAMENTO!$O$10)*0.71</f>
        <v>0.71</v>
      </c>
      <c r="I90" s="222" t="s">
        <v>386</v>
      </c>
      <c r="J90" s="222" t="s">
        <v>386</v>
      </c>
      <c r="K90" s="222" t="s">
        <v>386</v>
      </c>
      <c r="L90" s="222" t="s">
        <v>386</v>
      </c>
      <c r="M90" s="222" t="s">
        <v>386</v>
      </c>
      <c r="N90" s="150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</row>
    <row r="91" customFormat="false" ht="14.25" hidden="false" customHeight="true" outlineLevel="0" collapsed="false">
      <c r="A91" s="228" t="s">
        <v>341</v>
      </c>
      <c r="B91" s="217" t="s">
        <v>69</v>
      </c>
      <c r="C91" s="228" t="s">
        <v>444</v>
      </c>
      <c r="D91" s="218" t="s">
        <v>445</v>
      </c>
      <c r="E91" s="219" t="s">
        <v>71</v>
      </c>
      <c r="F91" s="220" t="n">
        <v>1</v>
      </c>
      <c r="G91" s="221" t="n">
        <f aca="false">ROUND((1-ORCAMENTO!$O$10)*1.71,2)</f>
        <v>1.71</v>
      </c>
      <c r="H91" s="221" t="n">
        <f aca="false">(1-ORCAMENTO!$O$10)*1.71</f>
        <v>1.71</v>
      </c>
      <c r="I91" s="222" t="n">
        <f aca="false">(1-ORCAMENTO!$O$10)*0</f>
        <v>0</v>
      </c>
      <c r="J91" s="222" t="n">
        <f aca="false">(1-ORCAMENTO!$O$10)*1.71</f>
        <v>1.71</v>
      </c>
      <c r="K91" s="222" t="n">
        <f aca="false">(1-ORCAMENTO!$O$10)*0</f>
        <v>0</v>
      </c>
      <c r="L91" s="222" t="n">
        <f aca="false">(1-ORCAMENTO!$O$10)*0</f>
        <v>0</v>
      </c>
      <c r="M91" s="222" t="n">
        <f aca="false">(1-ORCAMENTO!$O$10)*0</f>
        <v>0</v>
      </c>
      <c r="N91" s="150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</row>
    <row r="92" customFormat="false" ht="14.25" hidden="false" customHeight="true" outlineLevel="0" collapsed="false">
      <c r="A92" s="228"/>
      <c r="B92" s="217"/>
      <c r="C92" s="228"/>
      <c r="D92" s="218"/>
      <c r="E92" s="219"/>
      <c r="F92" s="220"/>
      <c r="G92" s="221"/>
      <c r="H92" s="221"/>
      <c r="I92" s="222"/>
      <c r="J92" s="222"/>
      <c r="K92" s="222"/>
      <c r="L92" s="222"/>
      <c r="M92" s="222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</row>
    <row r="93" customFormat="false" ht="14.25" hidden="false" customHeight="true" outlineLevel="0" collapsed="false">
      <c r="A93" s="223" t="s">
        <v>446</v>
      </c>
      <c r="B93" s="160" t="s">
        <v>69</v>
      </c>
      <c r="C93" s="223"/>
      <c r="D93" s="224" t="s">
        <v>75</v>
      </c>
      <c r="E93" s="159" t="s">
        <v>71</v>
      </c>
      <c r="F93" s="225"/>
      <c r="G93" s="226"/>
      <c r="H93" s="226" t="n">
        <f aca="false">SUM($I$93:$M$93)</f>
        <v>26.32</v>
      </c>
      <c r="I93" s="227" t="n">
        <f aca="false">ROUND((1-ORCAMENTO!$O$10)*1.96,2)</f>
        <v>1.96</v>
      </c>
      <c r="J93" s="227" t="n">
        <f aca="false">ROUND((1-ORCAMENTO!$O$10)*24.36,2)</f>
        <v>24.36</v>
      </c>
      <c r="K93" s="227" t="n">
        <f aca="false">ROUND((1-ORCAMENTO!$O$10)*0,2)</f>
        <v>0</v>
      </c>
      <c r="L93" s="227" t="n">
        <f aca="false">ROUND((1-ORCAMENTO!$O$10)*0,2)</f>
        <v>0</v>
      </c>
      <c r="M93" s="227" t="n">
        <f aca="false">ROUND((1-ORCAMENTO!$O$10)*0,2)</f>
        <v>0</v>
      </c>
      <c r="N93" s="150"/>
      <c r="O93" s="150"/>
      <c r="P93" s="150"/>
      <c r="Q93" s="150"/>
      <c r="R93" s="150"/>
      <c r="S93" s="150"/>
      <c r="T93" s="150"/>
      <c r="U93" s="150"/>
      <c r="V93" s="150"/>
      <c r="W93" s="150"/>
      <c r="X93" s="150"/>
      <c r="Y93" s="150"/>
      <c r="Z93" s="150"/>
    </row>
    <row r="94" customFormat="false" ht="14.25" hidden="false" customHeight="true" outlineLevel="0" collapsed="false">
      <c r="A94" s="228" t="s">
        <v>341</v>
      </c>
      <c r="B94" s="217" t="s">
        <v>383</v>
      </c>
      <c r="C94" s="228" t="s">
        <v>447</v>
      </c>
      <c r="D94" s="218" t="s">
        <v>448</v>
      </c>
      <c r="E94" s="219" t="s">
        <v>71</v>
      </c>
      <c r="F94" s="220" t="n">
        <v>1</v>
      </c>
      <c r="G94" s="221" t="n">
        <f aca="false">ROUND((1-ORCAMENTO!$O$10)*24.15,2)</f>
        <v>24.15</v>
      </c>
      <c r="H94" s="221" t="n">
        <f aca="false">(1-ORCAMENTO!$O$10)*24.15</f>
        <v>24.15</v>
      </c>
      <c r="I94" s="222" t="s">
        <v>386</v>
      </c>
      <c r="J94" s="222" t="s">
        <v>386</v>
      </c>
      <c r="K94" s="222" t="s">
        <v>386</v>
      </c>
      <c r="L94" s="222" t="s">
        <v>386</v>
      </c>
      <c r="M94" s="222" t="s">
        <v>386</v>
      </c>
      <c r="N94" s="150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</row>
    <row r="95" customFormat="false" ht="14.25" hidden="false" customHeight="true" outlineLevel="0" collapsed="false">
      <c r="A95" s="228" t="s">
        <v>341</v>
      </c>
      <c r="B95" s="217" t="s">
        <v>383</v>
      </c>
      <c r="C95" s="228" t="s">
        <v>413</v>
      </c>
      <c r="D95" s="218" t="s">
        <v>414</v>
      </c>
      <c r="E95" s="219" t="s">
        <v>71</v>
      </c>
      <c r="F95" s="220" t="n">
        <v>1</v>
      </c>
      <c r="G95" s="221" t="n">
        <f aca="false">ROUND((1-ORCAMENTO!$O$10)*1.14,2)</f>
        <v>1.14</v>
      </c>
      <c r="H95" s="221" t="n">
        <f aca="false">(1-ORCAMENTO!$O$10)*1.14</f>
        <v>1.14</v>
      </c>
      <c r="I95" s="222" t="s">
        <v>386</v>
      </c>
      <c r="J95" s="222" t="s">
        <v>386</v>
      </c>
      <c r="K95" s="222" t="s">
        <v>386</v>
      </c>
      <c r="L95" s="222" t="s">
        <v>386</v>
      </c>
      <c r="M95" s="222" t="s">
        <v>386</v>
      </c>
      <c r="N95" s="150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</row>
    <row r="96" customFormat="false" ht="14.25" hidden="false" customHeight="true" outlineLevel="0" collapsed="false">
      <c r="A96" s="217" t="s">
        <v>341</v>
      </c>
      <c r="B96" s="217" t="s">
        <v>383</v>
      </c>
      <c r="C96" s="228" t="s">
        <v>415</v>
      </c>
      <c r="D96" s="218" t="s">
        <v>416</v>
      </c>
      <c r="E96" s="219" t="s">
        <v>71</v>
      </c>
      <c r="F96" s="220" t="n">
        <v>1</v>
      </c>
      <c r="G96" s="221" t="n">
        <f aca="false">ROUND((1-ORCAMENTO!$O$10)*0.07,2)</f>
        <v>0.07</v>
      </c>
      <c r="H96" s="221" t="n">
        <f aca="false">(1-ORCAMENTO!$O$10)*0.07</f>
        <v>0.07</v>
      </c>
      <c r="I96" s="222" t="s">
        <v>386</v>
      </c>
      <c r="J96" s="222" t="s">
        <v>386</v>
      </c>
      <c r="K96" s="222" t="s">
        <v>386</v>
      </c>
      <c r="L96" s="222" t="s">
        <v>386</v>
      </c>
      <c r="M96" s="222" t="s">
        <v>386</v>
      </c>
      <c r="N96" s="150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</row>
    <row r="97" customFormat="false" ht="14.25" hidden="false" customHeight="true" outlineLevel="0" collapsed="false">
      <c r="A97" s="228" t="s">
        <v>341</v>
      </c>
      <c r="B97" s="217" t="s">
        <v>383</v>
      </c>
      <c r="C97" s="228" t="s">
        <v>417</v>
      </c>
      <c r="D97" s="218" t="s">
        <v>418</v>
      </c>
      <c r="E97" s="219" t="s">
        <v>71</v>
      </c>
      <c r="F97" s="220" t="n">
        <v>1</v>
      </c>
      <c r="G97" s="221" t="n">
        <f aca="false">ROUND((1-ORCAMENTO!$O$10)*0.08,2)</f>
        <v>0.08</v>
      </c>
      <c r="H97" s="221" t="n">
        <f aca="false">(1-ORCAMENTO!$O$10)*0.08</f>
        <v>0.08</v>
      </c>
      <c r="I97" s="222" t="s">
        <v>386</v>
      </c>
      <c r="J97" s="222" t="s">
        <v>386</v>
      </c>
      <c r="K97" s="222" t="s">
        <v>386</v>
      </c>
      <c r="L97" s="222" t="s">
        <v>386</v>
      </c>
      <c r="M97" s="222" t="s">
        <v>386</v>
      </c>
      <c r="N97" s="150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</row>
    <row r="98" customFormat="false" ht="14.25" hidden="false" customHeight="true" outlineLevel="0" collapsed="false">
      <c r="A98" s="228" t="s">
        <v>341</v>
      </c>
      <c r="B98" s="217" t="s">
        <v>383</v>
      </c>
      <c r="C98" s="228" t="s">
        <v>419</v>
      </c>
      <c r="D98" s="218" t="s">
        <v>420</v>
      </c>
      <c r="E98" s="219" t="s">
        <v>71</v>
      </c>
      <c r="F98" s="220" t="n">
        <v>1</v>
      </c>
      <c r="G98" s="221" t="n">
        <f aca="false">ROUND((1-ORCAMENTO!$O$10)*0.67,2)</f>
        <v>0.67</v>
      </c>
      <c r="H98" s="221" t="n">
        <f aca="false">(1-ORCAMENTO!$O$10)*0.67</f>
        <v>0.67</v>
      </c>
      <c r="I98" s="222" t="s">
        <v>386</v>
      </c>
      <c r="J98" s="222" t="s">
        <v>386</v>
      </c>
      <c r="K98" s="222" t="s">
        <v>386</v>
      </c>
      <c r="L98" s="222" t="s">
        <v>386</v>
      </c>
      <c r="M98" s="222" t="s">
        <v>386</v>
      </c>
      <c r="N98" s="150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</row>
    <row r="99" customFormat="false" ht="14.25" hidden="false" customHeight="true" outlineLevel="0" collapsed="false">
      <c r="A99" s="228" t="s">
        <v>341</v>
      </c>
      <c r="B99" s="217" t="s">
        <v>69</v>
      </c>
      <c r="C99" s="228" t="s">
        <v>449</v>
      </c>
      <c r="D99" s="218" t="s">
        <v>450</v>
      </c>
      <c r="E99" s="219" t="s">
        <v>71</v>
      </c>
      <c r="F99" s="220" t="n">
        <v>1</v>
      </c>
      <c r="G99" s="221" t="n">
        <f aca="false">ROUND((1-ORCAMENTO!$O$10)*0.21,2)</f>
        <v>0.21</v>
      </c>
      <c r="H99" s="221" t="n">
        <f aca="false">(1-ORCAMENTO!$O$10)*0.21</f>
        <v>0.21</v>
      </c>
      <c r="I99" s="222" t="n">
        <f aca="false">(1-ORCAMENTO!$O$10)*0</f>
        <v>0</v>
      </c>
      <c r="J99" s="222" t="n">
        <f aca="false">(1-ORCAMENTO!$O$10)*0.21</f>
        <v>0.21</v>
      </c>
      <c r="K99" s="222" t="n">
        <f aca="false">(1-ORCAMENTO!$O$10)*0</f>
        <v>0</v>
      </c>
      <c r="L99" s="222" t="n">
        <f aca="false">(1-ORCAMENTO!$O$10)*0</f>
        <v>0</v>
      </c>
      <c r="M99" s="222" t="n">
        <f aca="false">(1-ORCAMENTO!$O$10)*0</f>
        <v>0</v>
      </c>
      <c r="N99" s="150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</row>
    <row r="100" customFormat="false" ht="14.25" hidden="false" customHeight="true" outlineLevel="0" collapsed="false">
      <c r="A100" s="228"/>
      <c r="B100" s="217"/>
      <c r="C100" s="228"/>
      <c r="D100" s="218"/>
      <c r="E100" s="219"/>
      <c r="F100" s="220"/>
      <c r="G100" s="221"/>
      <c r="H100" s="221"/>
      <c r="I100" s="222"/>
      <c r="J100" s="222"/>
      <c r="K100" s="222"/>
      <c r="L100" s="222"/>
      <c r="M100" s="222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</row>
    <row r="101" customFormat="false" ht="14.25" hidden="false" customHeight="true" outlineLevel="0" collapsed="false">
      <c r="A101" s="223" t="s">
        <v>451</v>
      </c>
      <c r="B101" s="160" t="s">
        <v>69</v>
      </c>
      <c r="C101" s="223"/>
      <c r="D101" s="224" t="s">
        <v>234</v>
      </c>
      <c r="E101" s="159" t="s">
        <v>62</v>
      </c>
      <c r="F101" s="225"/>
      <c r="G101" s="226"/>
      <c r="H101" s="226" t="n">
        <f aca="false">SUM($I$101:$M$101)</f>
        <v>67.06</v>
      </c>
      <c r="I101" s="227" t="n">
        <f aca="false">ROUND((1-ORCAMENTO!$O$10)*52.55,2)</f>
        <v>52.55</v>
      </c>
      <c r="J101" s="227" t="n">
        <f aca="false">ROUND((1-ORCAMENTO!$O$10)*14.2,2)</f>
        <v>14.2</v>
      </c>
      <c r="K101" s="227" t="n">
        <f aca="false">ROUND((1-ORCAMENTO!$O$10)*0.31,2)</f>
        <v>0.31</v>
      </c>
      <c r="L101" s="227" t="n">
        <f aca="false">ROUND((1-ORCAMENTO!$O$10)*0,2)</f>
        <v>0</v>
      </c>
      <c r="M101" s="227" t="n">
        <f aca="false">ROUND((1-ORCAMENTO!$O$10)*0,2)</f>
        <v>0</v>
      </c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50"/>
      <c r="Z101" s="150"/>
    </row>
    <row r="102" customFormat="false" ht="14.25" hidden="false" customHeight="true" outlineLevel="0" collapsed="false">
      <c r="A102" s="228" t="s">
        <v>341</v>
      </c>
      <c r="B102" s="217" t="s">
        <v>383</v>
      </c>
      <c r="C102" s="228" t="s">
        <v>384</v>
      </c>
      <c r="D102" s="218" t="s">
        <v>385</v>
      </c>
      <c r="E102" s="219" t="s">
        <v>85</v>
      </c>
      <c r="F102" s="220" t="n">
        <v>0.0568</v>
      </c>
      <c r="G102" s="221" t="n">
        <f aca="false">ROUND((1-ORCAMENTO!$O$10)*115,2)</f>
        <v>115</v>
      </c>
      <c r="H102" s="221" t="n">
        <f aca="false">(1-ORCAMENTO!$O$10)*6.53</f>
        <v>6.53</v>
      </c>
      <c r="I102" s="222" t="s">
        <v>386</v>
      </c>
      <c r="J102" s="222" t="s">
        <v>386</v>
      </c>
      <c r="K102" s="222" t="s">
        <v>386</v>
      </c>
      <c r="L102" s="222" t="s">
        <v>386</v>
      </c>
      <c r="M102" s="222" t="s">
        <v>386</v>
      </c>
      <c r="N102" s="150"/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</row>
    <row r="103" customFormat="false" ht="14.25" hidden="false" customHeight="true" outlineLevel="0" collapsed="false">
      <c r="A103" s="228" t="s">
        <v>341</v>
      </c>
      <c r="B103" s="217" t="s">
        <v>383</v>
      </c>
      <c r="C103" s="228" t="s">
        <v>387</v>
      </c>
      <c r="D103" s="218" t="s">
        <v>388</v>
      </c>
      <c r="E103" s="219" t="s">
        <v>85</v>
      </c>
      <c r="F103" s="220" t="n">
        <v>0.0098</v>
      </c>
      <c r="G103" s="221" t="n">
        <f aca="false">ROUND((1-ORCAMENTO!$O$10)*62.01,2)</f>
        <v>62.01</v>
      </c>
      <c r="H103" s="221" t="n">
        <f aca="false">(1-ORCAMENTO!$O$10)*0.6</f>
        <v>0.6</v>
      </c>
      <c r="I103" s="222" t="s">
        <v>386</v>
      </c>
      <c r="J103" s="222" t="s">
        <v>386</v>
      </c>
      <c r="K103" s="222" t="s">
        <v>386</v>
      </c>
      <c r="L103" s="222" t="s">
        <v>386</v>
      </c>
      <c r="M103" s="222" t="s">
        <v>386</v>
      </c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</row>
    <row r="104" customFormat="false" ht="14.25" hidden="false" customHeight="true" outlineLevel="0" collapsed="false">
      <c r="A104" s="228" t="s">
        <v>341</v>
      </c>
      <c r="B104" s="217" t="s">
        <v>383</v>
      </c>
      <c r="C104" s="228" t="s">
        <v>452</v>
      </c>
      <c r="D104" s="218" t="s">
        <v>453</v>
      </c>
      <c r="E104" s="219" t="s">
        <v>62</v>
      </c>
      <c r="F104" s="220" t="n">
        <v>1.03</v>
      </c>
      <c r="G104" s="221" t="n">
        <f aca="false">ROUND((1-ORCAMENTO!$O$10)*38,2)</f>
        <v>38</v>
      </c>
      <c r="H104" s="221" t="n">
        <f aca="false">(1-ORCAMENTO!$O$10)*39.14</f>
        <v>39.14</v>
      </c>
      <c r="I104" s="222" t="s">
        <v>386</v>
      </c>
      <c r="J104" s="222" t="s">
        <v>386</v>
      </c>
      <c r="K104" s="222" t="s">
        <v>386</v>
      </c>
      <c r="L104" s="222" t="s">
        <v>386</v>
      </c>
      <c r="M104" s="222" t="s">
        <v>386</v>
      </c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50"/>
      <c r="Z104" s="150"/>
    </row>
    <row r="105" customFormat="false" ht="14.25" hidden="false" customHeight="true" outlineLevel="0" collapsed="false">
      <c r="A105" s="228" t="s">
        <v>341</v>
      </c>
      <c r="B105" s="217" t="s">
        <v>69</v>
      </c>
      <c r="C105" s="228" t="s">
        <v>389</v>
      </c>
      <c r="D105" s="218" t="s">
        <v>390</v>
      </c>
      <c r="E105" s="219" t="s">
        <v>71</v>
      </c>
      <c r="F105" s="220" t="n">
        <v>0.3725</v>
      </c>
      <c r="G105" s="221" t="n">
        <f aca="false">ROUND((1-ORCAMENTO!$O$10)*28.61,2)</f>
        <v>28.61</v>
      </c>
      <c r="H105" s="221" t="n">
        <f aca="false">(1-ORCAMENTO!$O$10)*10.65</f>
        <v>10.65</v>
      </c>
      <c r="I105" s="222" t="n">
        <f aca="false">(1-ORCAMENTO!$O$10)*2.931575</f>
        <v>2.931575</v>
      </c>
      <c r="J105" s="222" t="n">
        <f aca="false">(1-ORCAMENTO!$O$10)*7.72565</f>
        <v>7.72565</v>
      </c>
      <c r="K105" s="222" t="n">
        <f aca="false">(1-ORCAMENTO!$O$10)*0</f>
        <v>0</v>
      </c>
      <c r="L105" s="222" t="n">
        <f aca="false">(1-ORCAMENTO!$O$10)*0</f>
        <v>0</v>
      </c>
      <c r="M105" s="222" t="n">
        <f aca="false">(1-ORCAMENTO!$O$10)*0</f>
        <v>0</v>
      </c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50"/>
      <c r="Z105" s="150"/>
    </row>
    <row r="106" customFormat="false" ht="14.25" hidden="false" customHeight="true" outlineLevel="0" collapsed="false">
      <c r="A106" s="228" t="s">
        <v>341</v>
      </c>
      <c r="B106" s="217" t="s">
        <v>69</v>
      </c>
      <c r="C106" s="228" t="s">
        <v>348</v>
      </c>
      <c r="D106" s="218" t="s">
        <v>349</v>
      </c>
      <c r="E106" s="219" t="s">
        <v>71</v>
      </c>
      <c r="F106" s="220" t="n">
        <v>0.3725</v>
      </c>
      <c r="G106" s="221" t="n">
        <f aca="false">ROUND((1-ORCAMENTO!$O$10)*25.12,2)</f>
        <v>25.12</v>
      </c>
      <c r="H106" s="221" t="n">
        <f aca="false">(1-ORCAMENTO!$O$10)*9.35</f>
        <v>9.35</v>
      </c>
      <c r="I106" s="222" t="n">
        <f aca="false">(1-ORCAMENTO!$O$10)*2.86825</f>
        <v>2.86825</v>
      </c>
      <c r="J106" s="222" t="n">
        <f aca="false">(1-ORCAMENTO!$O$10)*6.48895</f>
        <v>6.48895</v>
      </c>
      <c r="K106" s="222" t="n">
        <f aca="false">(1-ORCAMENTO!$O$10)*0</f>
        <v>0</v>
      </c>
      <c r="L106" s="222" t="n">
        <f aca="false">(1-ORCAMENTO!$O$10)*0</f>
        <v>0</v>
      </c>
      <c r="M106" s="222" t="n">
        <f aca="false">(1-ORCAMENTO!$O$10)*0</f>
        <v>0</v>
      </c>
      <c r="N106" s="150"/>
      <c r="O106" s="150"/>
      <c r="P106" s="150"/>
      <c r="Q106" s="150"/>
      <c r="R106" s="150"/>
      <c r="S106" s="150"/>
      <c r="T106" s="150"/>
      <c r="U106" s="150"/>
      <c r="V106" s="150"/>
      <c r="W106" s="150"/>
      <c r="X106" s="150"/>
      <c r="Y106" s="150"/>
      <c r="Z106" s="150"/>
    </row>
    <row r="107" customFormat="false" ht="14.25" hidden="false" customHeight="true" outlineLevel="0" collapsed="false">
      <c r="A107" s="228" t="s">
        <v>341</v>
      </c>
      <c r="B107" s="217" t="s">
        <v>69</v>
      </c>
      <c r="C107" s="228" t="s">
        <v>391</v>
      </c>
      <c r="D107" s="218" t="s">
        <v>392</v>
      </c>
      <c r="E107" s="219" t="s">
        <v>344</v>
      </c>
      <c r="F107" s="220" t="n">
        <v>0.0041</v>
      </c>
      <c r="G107" s="221" t="n">
        <f aca="false">ROUND((1-ORCAMENTO!$O$10)*9.64,2)</f>
        <v>9.64</v>
      </c>
      <c r="H107" s="221" t="n">
        <f aca="false">(1-ORCAMENTO!$O$10)*0.03</f>
        <v>0.03</v>
      </c>
      <c r="I107" s="222" t="n">
        <f aca="false">(1-ORCAMENTO!$O$10)*0.035096</f>
        <v>0.035096</v>
      </c>
      <c r="J107" s="222" t="n">
        <f aca="false">(1-ORCAMENTO!$O$10)*0</f>
        <v>0</v>
      </c>
      <c r="K107" s="222" t="n">
        <f aca="false">(1-ORCAMENTO!$O$10)*0.004428</f>
        <v>0.004428</v>
      </c>
      <c r="L107" s="222" t="n">
        <f aca="false">(1-ORCAMENTO!$O$10)*0</f>
        <v>0</v>
      </c>
      <c r="M107" s="222" t="n">
        <f aca="false">(1-ORCAMENTO!$O$10)*0</f>
        <v>0</v>
      </c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50"/>
      <c r="Z107" s="150"/>
    </row>
    <row r="108" customFormat="false" ht="14.25" hidden="false" customHeight="true" outlineLevel="0" collapsed="false">
      <c r="A108" s="228" t="s">
        <v>341</v>
      </c>
      <c r="B108" s="217" t="s">
        <v>69</v>
      </c>
      <c r="C108" s="228" t="s">
        <v>393</v>
      </c>
      <c r="D108" s="218" t="s">
        <v>394</v>
      </c>
      <c r="E108" s="219" t="s">
        <v>347</v>
      </c>
      <c r="F108" s="220" t="n">
        <v>0.1821</v>
      </c>
      <c r="G108" s="221" t="n">
        <f aca="false">ROUND((1-ORCAMENTO!$O$10)*0.51,2)</f>
        <v>0.51</v>
      </c>
      <c r="H108" s="221" t="n">
        <f aca="false">(1-ORCAMENTO!$O$10)*0.09</f>
        <v>0.09</v>
      </c>
      <c r="I108" s="222" t="n">
        <f aca="false">(1-ORCAMENTO!$O$10)*0</f>
        <v>0</v>
      </c>
      <c r="J108" s="222" t="n">
        <f aca="false">(1-ORCAMENTO!$O$10)*0</f>
        <v>0</v>
      </c>
      <c r="K108" s="222" t="n">
        <f aca="false">(1-ORCAMENTO!$O$10)*0.092871</f>
        <v>0.092871</v>
      </c>
      <c r="L108" s="222" t="n">
        <f aca="false">(1-ORCAMENTO!$O$10)*0</f>
        <v>0</v>
      </c>
      <c r="M108" s="222" t="n">
        <f aca="false">(1-ORCAMENTO!$O$10)*0</f>
        <v>0</v>
      </c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50"/>
      <c r="Z108" s="150"/>
    </row>
    <row r="109" customFormat="false" ht="14.25" hidden="false" customHeight="true" outlineLevel="0" collapsed="false">
      <c r="A109" s="228" t="s">
        <v>341</v>
      </c>
      <c r="B109" s="217" t="s">
        <v>69</v>
      </c>
      <c r="C109" s="228" t="s">
        <v>454</v>
      </c>
      <c r="D109" s="218" t="s">
        <v>455</v>
      </c>
      <c r="E109" s="219" t="s">
        <v>344</v>
      </c>
      <c r="F109" s="220" t="n">
        <v>0.0491</v>
      </c>
      <c r="G109" s="221" t="n">
        <f aca="false">ROUND((1-ORCAMENTO!$O$10)*10.82,2)</f>
        <v>10.82</v>
      </c>
      <c r="H109" s="221" t="n">
        <f aca="false">(1-ORCAMENTO!$O$10)*0.53</f>
        <v>0.53</v>
      </c>
      <c r="I109" s="222" t="n">
        <f aca="false">(1-ORCAMENTO!$O$10)*0.423242</f>
        <v>0.423242</v>
      </c>
      <c r="J109" s="222" t="n">
        <f aca="false">(1-ORCAMENTO!$O$10)*0</f>
        <v>0</v>
      </c>
      <c r="K109" s="222" t="n">
        <f aca="false">(1-ORCAMENTO!$O$10)*0.10802</f>
        <v>0.10802</v>
      </c>
      <c r="L109" s="222" t="n">
        <f aca="false">(1-ORCAMENTO!$O$10)*0</f>
        <v>0</v>
      </c>
      <c r="M109" s="222" t="n">
        <f aca="false">(1-ORCAMENTO!$O$10)*0</f>
        <v>0</v>
      </c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</row>
    <row r="110" customFormat="false" ht="14.25" hidden="false" customHeight="true" outlineLevel="0" collapsed="false">
      <c r="A110" s="228" t="s">
        <v>341</v>
      </c>
      <c r="B110" s="217" t="s">
        <v>69</v>
      </c>
      <c r="C110" s="228" t="s">
        <v>456</v>
      </c>
      <c r="D110" s="218" t="s">
        <v>457</v>
      </c>
      <c r="E110" s="219" t="s">
        <v>347</v>
      </c>
      <c r="F110" s="220" t="n">
        <v>0.1371</v>
      </c>
      <c r="G110" s="221" t="n">
        <f aca="false">ROUND((1-ORCAMENTO!$O$10)*1.03,2)</f>
        <v>1.03</v>
      </c>
      <c r="H110" s="221" t="n">
        <f aca="false">(1-ORCAMENTO!$O$10)*0.14</f>
        <v>0.14</v>
      </c>
      <c r="I110" s="222" t="n">
        <f aca="false">(1-ORCAMENTO!$O$10)*0</f>
        <v>0</v>
      </c>
      <c r="J110" s="222" t="n">
        <f aca="false">(1-ORCAMENTO!$O$10)*0</f>
        <v>0</v>
      </c>
      <c r="K110" s="222" t="n">
        <f aca="false">(1-ORCAMENTO!$O$10)*0.141213</f>
        <v>0.141213</v>
      </c>
      <c r="L110" s="222" t="n">
        <f aca="false">(1-ORCAMENTO!$O$10)*0</f>
        <v>0</v>
      </c>
      <c r="M110" s="222" t="n">
        <f aca="false">(1-ORCAMENTO!$O$10)*0</f>
        <v>0</v>
      </c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  <c r="Y110" s="150"/>
      <c r="Z110" s="150"/>
    </row>
    <row r="111" customFormat="false" ht="14.25" hidden="false" customHeight="true" outlineLevel="0" collapsed="false">
      <c r="A111" s="217"/>
      <c r="B111" s="217"/>
      <c r="C111" s="228"/>
      <c r="D111" s="218"/>
      <c r="E111" s="219"/>
      <c r="F111" s="220"/>
      <c r="G111" s="221"/>
      <c r="H111" s="221"/>
      <c r="I111" s="222"/>
      <c r="J111" s="222"/>
      <c r="K111" s="222"/>
      <c r="L111" s="222"/>
      <c r="M111" s="222"/>
      <c r="N111" s="150"/>
      <c r="O111" s="150"/>
      <c r="P111" s="150"/>
      <c r="Q111" s="150"/>
      <c r="R111" s="150"/>
      <c r="S111" s="150"/>
      <c r="T111" s="150"/>
      <c r="U111" s="150"/>
      <c r="V111" s="150"/>
      <c r="W111" s="150"/>
      <c r="X111" s="150"/>
      <c r="Y111" s="150"/>
      <c r="Z111" s="150"/>
    </row>
    <row r="112" customFormat="false" ht="14.25" hidden="false" customHeight="true" outlineLevel="0" collapsed="false">
      <c r="A112" s="223" t="s">
        <v>458</v>
      </c>
      <c r="B112" s="160" t="s">
        <v>69</v>
      </c>
      <c r="C112" s="223"/>
      <c r="D112" s="224" t="s">
        <v>227</v>
      </c>
      <c r="E112" s="159" t="s">
        <v>62</v>
      </c>
      <c r="F112" s="225"/>
      <c r="G112" s="226"/>
      <c r="H112" s="226" t="n">
        <f aca="false">SUM($I$112:$M$112)</f>
        <v>69.74</v>
      </c>
      <c r="I112" s="227" t="n">
        <f aca="false">ROUND((1-ORCAMENTO!$O$10)*59.54,2)</f>
        <v>59.54</v>
      </c>
      <c r="J112" s="227" t="n">
        <f aca="false">ROUND((1-ORCAMENTO!$O$10)*10.03,2)</f>
        <v>10.03</v>
      </c>
      <c r="K112" s="227" t="n">
        <f aca="false">ROUND((1-ORCAMENTO!$O$10)*0.17,2)</f>
        <v>0.17</v>
      </c>
      <c r="L112" s="227" t="n">
        <f aca="false">ROUND((1-ORCAMENTO!$O$10)*0,2)</f>
        <v>0</v>
      </c>
      <c r="M112" s="227" t="n">
        <f aca="false">ROUND((1-ORCAMENTO!$O$10)*0,2)</f>
        <v>0</v>
      </c>
      <c r="N112" s="150"/>
      <c r="O112" s="150"/>
      <c r="P112" s="150"/>
      <c r="Q112" s="150"/>
      <c r="R112" s="150"/>
      <c r="S112" s="150"/>
      <c r="T112" s="150"/>
      <c r="U112" s="150"/>
      <c r="V112" s="150"/>
      <c r="W112" s="150"/>
      <c r="X112" s="150"/>
      <c r="Y112" s="150"/>
      <c r="Z112" s="150"/>
    </row>
    <row r="113" customFormat="false" ht="14.25" hidden="false" customHeight="true" outlineLevel="0" collapsed="false">
      <c r="A113" s="217" t="s">
        <v>341</v>
      </c>
      <c r="B113" s="217" t="s">
        <v>383</v>
      </c>
      <c r="C113" s="228" t="s">
        <v>384</v>
      </c>
      <c r="D113" s="218" t="s">
        <v>385</v>
      </c>
      <c r="E113" s="219" t="s">
        <v>85</v>
      </c>
      <c r="F113" s="220" t="n">
        <v>0.0568</v>
      </c>
      <c r="G113" s="221" t="n">
        <f aca="false">ROUND((1-ORCAMENTO!$O$10)*115,2)</f>
        <v>115</v>
      </c>
      <c r="H113" s="221" t="n">
        <f aca="false">(1-ORCAMENTO!$O$10)*6.53</f>
        <v>6.53</v>
      </c>
      <c r="I113" s="222" t="s">
        <v>386</v>
      </c>
      <c r="J113" s="222" t="s">
        <v>386</v>
      </c>
      <c r="K113" s="222" t="s">
        <v>386</v>
      </c>
      <c r="L113" s="222" t="s">
        <v>386</v>
      </c>
      <c r="M113" s="222" t="s">
        <v>386</v>
      </c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customFormat="false" ht="14.25" hidden="false" customHeight="true" outlineLevel="0" collapsed="false">
      <c r="A114" s="228" t="s">
        <v>341</v>
      </c>
      <c r="B114" s="217" t="s">
        <v>383</v>
      </c>
      <c r="C114" s="228" t="s">
        <v>387</v>
      </c>
      <c r="D114" s="218" t="s">
        <v>388</v>
      </c>
      <c r="E114" s="219" t="s">
        <v>85</v>
      </c>
      <c r="F114" s="220" t="n">
        <v>0.0098</v>
      </c>
      <c r="G114" s="221" t="n">
        <f aca="false">ROUND((1-ORCAMENTO!$O$10)*62.01,2)</f>
        <v>62.01</v>
      </c>
      <c r="H114" s="221" t="n">
        <f aca="false">(1-ORCAMENTO!$O$10)*0.6</f>
        <v>0.6</v>
      </c>
      <c r="I114" s="222" t="s">
        <v>386</v>
      </c>
      <c r="J114" s="222" t="s">
        <v>386</v>
      </c>
      <c r="K114" s="222" t="s">
        <v>386</v>
      </c>
      <c r="L114" s="222" t="s">
        <v>386</v>
      </c>
      <c r="M114" s="222" t="s">
        <v>386</v>
      </c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</row>
    <row r="115" customFormat="false" ht="14.25" hidden="false" customHeight="true" outlineLevel="0" collapsed="false">
      <c r="A115" s="228" t="s">
        <v>341</v>
      </c>
      <c r="B115" s="217" t="s">
        <v>383</v>
      </c>
      <c r="C115" s="228" t="s">
        <v>459</v>
      </c>
      <c r="D115" s="218" t="s">
        <v>460</v>
      </c>
      <c r="E115" s="219" t="s">
        <v>62</v>
      </c>
      <c r="F115" s="220" t="n">
        <v>1.0041</v>
      </c>
      <c r="G115" s="221" t="n">
        <f aca="false">ROUND((1-ORCAMENTO!$O$10)*48,2)</f>
        <v>48</v>
      </c>
      <c r="H115" s="221" t="n">
        <f aca="false">(1-ORCAMENTO!$O$10)*48.19</f>
        <v>48.19</v>
      </c>
      <c r="I115" s="222" t="s">
        <v>386</v>
      </c>
      <c r="J115" s="222" t="s">
        <v>386</v>
      </c>
      <c r="K115" s="222" t="s">
        <v>386</v>
      </c>
      <c r="L115" s="222" t="s">
        <v>386</v>
      </c>
      <c r="M115" s="222" t="s">
        <v>386</v>
      </c>
      <c r="N115" s="150"/>
      <c r="O115" s="150"/>
      <c r="P115" s="150"/>
      <c r="Q115" s="150"/>
      <c r="R115" s="150"/>
      <c r="S115" s="150"/>
      <c r="T115" s="150"/>
      <c r="U115" s="150"/>
      <c r="V115" s="150"/>
      <c r="W115" s="150"/>
      <c r="X115" s="150"/>
      <c r="Y115" s="150"/>
      <c r="Z115" s="150"/>
    </row>
    <row r="116" customFormat="false" ht="14.25" hidden="false" customHeight="true" outlineLevel="0" collapsed="false">
      <c r="A116" s="228" t="s">
        <v>341</v>
      </c>
      <c r="B116" s="217" t="s">
        <v>69</v>
      </c>
      <c r="C116" s="228" t="s">
        <v>389</v>
      </c>
      <c r="D116" s="218" t="s">
        <v>390</v>
      </c>
      <c r="E116" s="219" t="s">
        <v>71</v>
      </c>
      <c r="F116" s="220" t="n">
        <v>0.2632</v>
      </c>
      <c r="G116" s="221" t="n">
        <f aca="false">ROUND((1-ORCAMENTO!$O$10)*28.61,2)</f>
        <v>28.61</v>
      </c>
      <c r="H116" s="221" t="n">
        <f aca="false">(1-ORCAMENTO!$O$10)*7.53</f>
        <v>7.53</v>
      </c>
      <c r="I116" s="222" t="n">
        <f aca="false">(1-ORCAMENTO!$O$10)*2.071384</f>
        <v>2.071384</v>
      </c>
      <c r="J116" s="222" t="n">
        <f aca="false">(1-ORCAMENTO!$O$10)*5.458768</f>
        <v>5.458768</v>
      </c>
      <c r="K116" s="222" t="n">
        <f aca="false">(1-ORCAMENTO!$O$10)*0</f>
        <v>0</v>
      </c>
      <c r="L116" s="222" t="n">
        <f aca="false">(1-ORCAMENTO!$O$10)*0</f>
        <v>0</v>
      </c>
      <c r="M116" s="222" t="n">
        <f aca="false">(1-ORCAMENTO!$O$10)*0</f>
        <v>0</v>
      </c>
      <c r="N116" s="150"/>
      <c r="O116" s="150"/>
      <c r="P116" s="150"/>
      <c r="Q116" s="150"/>
      <c r="R116" s="150"/>
      <c r="S116" s="150"/>
      <c r="T116" s="150"/>
      <c r="U116" s="150"/>
      <c r="V116" s="150"/>
      <c r="W116" s="150"/>
      <c r="X116" s="150"/>
      <c r="Y116" s="150"/>
      <c r="Z116" s="150"/>
    </row>
    <row r="117" customFormat="false" ht="14.25" hidden="false" customHeight="true" outlineLevel="0" collapsed="false">
      <c r="A117" s="228" t="s">
        <v>341</v>
      </c>
      <c r="B117" s="217" t="s">
        <v>69</v>
      </c>
      <c r="C117" s="228" t="s">
        <v>348</v>
      </c>
      <c r="D117" s="218" t="s">
        <v>349</v>
      </c>
      <c r="E117" s="219" t="s">
        <v>71</v>
      </c>
      <c r="F117" s="220" t="n">
        <v>0.2632</v>
      </c>
      <c r="G117" s="221" t="n">
        <f aca="false">ROUND((1-ORCAMENTO!$O$10)*25.12,2)</f>
        <v>25.12</v>
      </c>
      <c r="H117" s="221" t="n">
        <f aca="false">(1-ORCAMENTO!$O$10)*6.61</f>
        <v>6.61</v>
      </c>
      <c r="I117" s="222" t="n">
        <f aca="false">(1-ORCAMENTO!$O$10)*2.02664</f>
        <v>2.02664</v>
      </c>
      <c r="J117" s="222" t="n">
        <f aca="false">(1-ORCAMENTO!$O$10)*4.584944</f>
        <v>4.584944</v>
      </c>
      <c r="K117" s="222" t="n">
        <f aca="false">(1-ORCAMENTO!$O$10)*0</f>
        <v>0</v>
      </c>
      <c r="L117" s="222" t="n">
        <f aca="false">(1-ORCAMENTO!$O$10)*0</f>
        <v>0</v>
      </c>
      <c r="M117" s="222" t="n">
        <f aca="false">(1-ORCAMENTO!$O$10)*0</f>
        <v>0</v>
      </c>
      <c r="N117" s="150"/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50"/>
      <c r="Z117" s="150"/>
    </row>
    <row r="118" customFormat="false" ht="14.25" hidden="false" customHeight="true" outlineLevel="0" collapsed="false">
      <c r="A118" s="228" t="s">
        <v>341</v>
      </c>
      <c r="B118" s="217" t="s">
        <v>69</v>
      </c>
      <c r="C118" s="228" t="s">
        <v>391</v>
      </c>
      <c r="D118" s="218" t="s">
        <v>392</v>
      </c>
      <c r="E118" s="219" t="s">
        <v>344</v>
      </c>
      <c r="F118" s="220" t="n">
        <v>0.0055</v>
      </c>
      <c r="G118" s="221" t="n">
        <f aca="false">ROUND((1-ORCAMENTO!$O$10)*9.64,2)</f>
        <v>9.64</v>
      </c>
      <c r="H118" s="221" t="n">
        <f aca="false">(1-ORCAMENTO!$O$10)*0.05</f>
        <v>0.05</v>
      </c>
      <c r="I118" s="222" t="n">
        <f aca="false">(1-ORCAMENTO!$O$10)*0.04708</f>
        <v>0.04708</v>
      </c>
      <c r="J118" s="222" t="n">
        <f aca="false">(1-ORCAMENTO!$O$10)*0</f>
        <v>0</v>
      </c>
      <c r="K118" s="222" t="n">
        <f aca="false">(1-ORCAMENTO!$O$10)*0.00594</f>
        <v>0.00594</v>
      </c>
      <c r="L118" s="222" t="n">
        <f aca="false">(1-ORCAMENTO!$O$10)*0</f>
        <v>0</v>
      </c>
      <c r="M118" s="222" t="n">
        <f aca="false">(1-ORCAMENTO!$O$10)*0</f>
        <v>0</v>
      </c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</row>
    <row r="119" customFormat="false" ht="14.25" hidden="false" customHeight="true" outlineLevel="0" collapsed="false">
      <c r="A119" s="228" t="s">
        <v>341</v>
      </c>
      <c r="B119" s="217" t="s">
        <v>69</v>
      </c>
      <c r="C119" s="228" t="s">
        <v>393</v>
      </c>
      <c r="D119" s="218" t="s">
        <v>394</v>
      </c>
      <c r="E119" s="219" t="s">
        <v>347</v>
      </c>
      <c r="F119" s="220" t="n">
        <v>0.1261</v>
      </c>
      <c r="G119" s="221" t="n">
        <f aca="false">ROUND((1-ORCAMENTO!$O$10)*0.51,2)</f>
        <v>0.51</v>
      </c>
      <c r="H119" s="221" t="n">
        <f aca="false">(1-ORCAMENTO!$O$10)*0.06</f>
        <v>0.06</v>
      </c>
      <c r="I119" s="222" t="n">
        <f aca="false">(1-ORCAMENTO!$O$10)*0</f>
        <v>0</v>
      </c>
      <c r="J119" s="222" t="n">
        <f aca="false">(1-ORCAMENTO!$O$10)*0</f>
        <v>0</v>
      </c>
      <c r="K119" s="222" t="n">
        <f aca="false">(1-ORCAMENTO!$O$10)*0.064311</f>
        <v>0.064311</v>
      </c>
      <c r="L119" s="222" t="n">
        <f aca="false">(1-ORCAMENTO!$O$10)*0</f>
        <v>0</v>
      </c>
      <c r="M119" s="222" t="n">
        <f aca="false">(1-ORCAMENTO!$O$10)*0</f>
        <v>0</v>
      </c>
      <c r="N119" s="150"/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50"/>
      <c r="Z119" s="150"/>
    </row>
    <row r="120" customFormat="false" ht="14.25" hidden="false" customHeight="true" outlineLevel="0" collapsed="false">
      <c r="A120" s="228" t="s">
        <v>341</v>
      </c>
      <c r="B120" s="217" t="s">
        <v>69</v>
      </c>
      <c r="C120" s="228" t="s">
        <v>454</v>
      </c>
      <c r="D120" s="218" t="s">
        <v>455</v>
      </c>
      <c r="E120" s="219" t="s">
        <v>344</v>
      </c>
      <c r="F120" s="220" t="n">
        <v>0.0038</v>
      </c>
      <c r="G120" s="221" t="n">
        <f aca="false">ROUND((1-ORCAMENTO!$O$10)*10.82,2)</f>
        <v>10.82</v>
      </c>
      <c r="H120" s="221" t="n">
        <f aca="false">(1-ORCAMENTO!$O$10)*0.04</f>
        <v>0.04</v>
      </c>
      <c r="I120" s="222" t="n">
        <f aca="false">(1-ORCAMENTO!$O$10)*0.032756</f>
        <v>0.032756</v>
      </c>
      <c r="J120" s="222" t="n">
        <f aca="false">(1-ORCAMENTO!$O$10)*0</f>
        <v>0</v>
      </c>
      <c r="K120" s="222" t="n">
        <f aca="false">(1-ORCAMENTO!$O$10)*0.00836</f>
        <v>0.00836</v>
      </c>
      <c r="L120" s="222" t="n">
        <f aca="false">(1-ORCAMENTO!$O$10)*0</f>
        <v>0</v>
      </c>
      <c r="M120" s="222" t="n">
        <f aca="false">(1-ORCAMENTO!$O$10)*0</f>
        <v>0</v>
      </c>
      <c r="N120" s="150"/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</row>
    <row r="121" customFormat="false" ht="14.25" hidden="false" customHeight="true" outlineLevel="0" collapsed="false">
      <c r="A121" s="228" t="s">
        <v>341</v>
      </c>
      <c r="B121" s="217" t="s">
        <v>69</v>
      </c>
      <c r="C121" s="228" t="s">
        <v>456</v>
      </c>
      <c r="D121" s="218" t="s">
        <v>457</v>
      </c>
      <c r="E121" s="219" t="s">
        <v>347</v>
      </c>
      <c r="F121" s="220" t="n">
        <v>0.1278</v>
      </c>
      <c r="G121" s="221" t="n">
        <f aca="false">ROUND((1-ORCAMENTO!$O$10)*1.03,2)</f>
        <v>1.03</v>
      </c>
      <c r="H121" s="221" t="n">
        <f aca="false">(1-ORCAMENTO!$O$10)*0.13</f>
        <v>0.13</v>
      </c>
      <c r="I121" s="222" t="n">
        <f aca="false">(1-ORCAMENTO!$O$10)*0</f>
        <v>0</v>
      </c>
      <c r="J121" s="222" t="n">
        <f aca="false">(1-ORCAMENTO!$O$10)*0</f>
        <v>0</v>
      </c>
      <c r="K121" s="222" t="n">
        <f aca="false">(1-ORCAMENTO!$O$10)*0.131634</f>
        <v>0.131634</v>
      </c>
      <c r="L121" s="222" t="n">
        <f aca="false">(1-ORCAMENTO!$O$10)*0</f>
        <v>0</v>
      </c>
      <c r="M121" s="222" t="n">
        <f aca="false">(1-ORCAMENTO!$O$10)*0</f>
        <v>0</v>
      </c>
      <c r="N121" s="150"/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</row>
    <row r="122" customFormat="false" ht="14.25" hidden="false" customHeight="true" outlineLevel="0" collapsed="false">
      <c r="A122" s="228"/>
      <c r="B122" s="217"/>
      <c r="C122" s="228"/>
      <c r="D122" s="218"/>
      <c r="E122" s="219"/>
      <c r="F122" s="220"/>
      <c r="G122" s="221"/>
      <c r="H122" s="221"/>
      <c r="I122" s="222"/>
      <c r="J122" s="222"/>
      <c r="K122" s="222"/>
      <c r="L122" s="222"/>
      <c r="M122" s="222"/>
      <c r="N122" s="150"/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</row>
    <row r="123" customFormat="false" ht="14.25" hidden="false" customHeight="true" outlineLevel="0" collapsed="false">
      <c r="A123" s="223" t="s">
        <v>461</v>
      </c>
      <c r="B123" s="160" t="s">
        <v>69</v>
      </c>
      <c r="C123" s="223"/>
      <c r="D123" s="224" t="s">
        <v>148</v>
      </c>
      <c r="E123" s="159" t="s">
        <v>85</v>
      </c>
      <c r="F123" s="225"/>
      <c r="G123" s="226"/>
      <c r="H123" s="226" t="n">
        <f aca="false">SUM($I$123:$M$123)</f>
        <v>99.37</v>
      </c>
      <c r="I123" s="227" t="n">
        <f aca="false">ROUND((1-ORCAMENTO!$O$10)*30.44,2)</f>
        <v>30.44</v>
      </c>
      <c r="J123" s="227" t="n">
        <f aca="false">ROUND((1-ORCAMENTO!$O$10)*68.93,2)</f>
        <v>68.93</v>
      </c>
      <c r="K123" s="227" t="n">
        <f aca="false">ROUND((1-ORCAMENTO!$O$10)*0,2)</f>
        <v>0</v>
      </c>
      <c r="L123" s="227" t="n">
        <f aca="false">ROUND((1-ORCAMENTO!$O$10)*0,2)</f>
        <v>0</v>
      </c>
      <c r="M123" s="227" t="n">
        <f aca="false">ROUND((1-ORCAMENTO!$O$10)*0,2)</f>
        <v>0</v>
      </c>
      <c r="N123" s="150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  <c r="Y123" s="150"/>
      <c r="Z123" s="150"/>
    </row>
    <row r="124" customFormat="false" ht="14.25" hidden="false" customHeight="true" outlineLevel="0" collapsed="false">
      <c r="A124" s="228" t="s">
        <v>341</v>
      </c>
      <c r="B124" s="217" t="s">
        <v>69</v>
      </c>
      <c r="C124" s="228" t="s">
        <v>348</v>
      </c>
      <c r="D124" s="218" t="s">
        <v>349</v>
      </c>
      <c r="E124" s="219" t="s">
        <v>71</v>
      </c>
      <c r="F124" s="220" t="n">
        <v>3.956</v>
      </c>
      <c r="G124" s="221" t="n">
        <f aca="false">ROUND((1-ORCAMENTO!$O$10)*25.12,2)</f>
        <v>25.12</v>
      </c>
      <c r="H124" s="221" t="n">
        <f aca="false">(1-ORCAMENTO!$O$10)*99.37</f>
        <v>99.37</v>
      </c>
      <c r="I124" s="222" t="n">
        <f aca="false">(1-ORCAMENTO!$O$10)*30.4612</f>
        <v>30.4612</v>
      </c>
      <c r="J124" s="222" t="n">
        <f aca="false">(1-ORCAMENTO!$O$10)*68.91352</f>
        <v>68.91352</v>
      </c>
      <c r="K124" s="222" t="n">
        <f aca="false">(1-ORCAMENTO!$O$10)*0</f>
        <v>0</v>
      </c>
      <c r="L124" s="222" t="n">
        <f aca="false">(1-ORCAMENTO!$O$10)*0</f>
        <v>0</v>
      </c>
      <c r="M124" s="222" t="n">
        <f aca="false">(1-ORCAMENTO!$O$10)*0</f>
        <v>0</v>
      </c>
      <c r="N124" s="150"/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  <c r="Y124" s="150"/>
      <c r="Z124" s="150"/>
    </row>
    <row r="125" customFormat="false" ht="14.25" hidden="false" customHeight="true" outlineLevel="0" collapsed="false">
      <c r="A125" s="228"/>
      <c r="B125" s="217"/>
      <c r="C125" s="228"/>
      <c r="D125" s="218"/>
      <c r="E125" s="219"/>
      <c r="F125" s="220"/>
      <c r="G125" s="221"/>
      <c r="H125" s="221"/>
      <c r="I125" s="222"/>
      <c r="J125" s="222"/>
      <c r="K125" s="222"/>
      <c r="L125" s="222"/>
      <c r="M125" s="222"/>
      <c r="N125" s="150"/>
      <c r="O125" s="150"/>
      <c r="P125" s="150"/>
      <c r="Q125" s="150"/>
      <c r="R125" s="150"/>
      <c r="S125" s="150"/>
      <c r="T125" s="150"/>
      <c r="U125" s="150"/>
      <c r="V125" s="150"/>
      <c r="W125" s="150"/>
      <c r="X125" s="150"/>
      <c r="Y125" s="150"/>
      <c r="Z125" s="150"/>
    </row>
    <row r="126" customFormat="false" ht="14.25" hidden="false" customHeight="true" outlineLevel="0" collapsed="false">
      <c r="A126" s="223" t="s">
        <v>462</v>
      </c>
      <c r="B126" s="160" t="s">
        <v>69</v>
      </c>
      <c r="C126" s="223"/>
      <c r="D126" s="224" t="s">
        <v>99</v>
      </c>
      <c r="E126" s="159" t="s">
        <v>85</v>
      </c>
      <c r="F126" s="225"/>
      <c r="G126" s="226"/>
      <c r="H126" s="226" t="n">
        <f aca="false">SUM($I$126:$M$126)</f>
        <v>26.67</v>
      </c>
      <c r="I126" s="227" t="n">
        <f aca="false">ROUND((1-ORCAMENTO!$O$10)*7.49,2)</f>
        <v>7.49</v>
      </c>
      <c r="J126" s="227" t="n">
        <f aca="false">ROUND((1-ORCAMENTO!$O$10)*14.11,2)</f>
        <v>14.11</v>
      </c>
      <c r="K126" s="227" t="n">
        <f aca="false">ROUND((1-ORCAMENTO!$O$10)*5.07,2)</f>
        <v>5.07</v>
      </c>
      <c r="L126" s="227" t="n">
        <f aca="false">ROUND((1-ORCAMENTO!$O$10)*0,2)</f>
        <v>0</v>
      </c>
      <c r="M126" s="227" t="n">
        <f aca="false">ROUND((1-ORCAMENTO!$O$10)*0,2)</f>
        <v>0</v>
      </c>
      <c r="N126" s="150"/>
      <c r="O126" s="150"/>
      <c r="P126" s="150"/>
      <c r="Q126" s="150"/>
      <c r="R126" s="150"/>
      <c r="S126" s="150"/>
      <c r="T126" s="150"/>
      <c r="U126" s="150"/>
      <c r="V126" s="150"/>
      <c r="W126" s="150"/>
      <c r="X126" s="150"/>
      <c r="Y126" s="150"/>
      <c r="Z126" s="150"/>
    </row>
    <row r="127" customFormat="false" ht="14.25" hidden="false" customHeight="true" outlineLevel="0" collapsed="false">
      <c r="A127" s="228" t="s">
        <v>341</v>
      </c>
      <c r="B127" s="217" t="s">
        <v>69</v>
      </c>
      <c r="C127" s="228" t="s">
        <v>424</v>
      </c>
      <c r="D127" s="218" t="s">
        <v>425</v>
      </c>
      <c r="E127" s="219" t="s">
        <v>344</v>
      </c>
      <c r="F127" s="220" t="n">
        <v>0.041</v>
      </c>
      <c r="G127" s="221" t="n">
        <f aca="false">ROUND((1-ORCAMENTO!$O$10)*133.8,2)</f>
        <v>133.8</v>
      </c>
      <c r="H127" s="221" t="n">
        <f aca="false">(1-ORCAMENTO!$O$10)*5.48</f>
        <v>5.48</v>
      </c>
      <c r="I127" s="222" t="n">
        <f aca="false">(1-ORCAMENTO!$O$10)*1.95283</f>
        <v>1.95283</v>
      </c>
      <c r="J127" s="222" t="n">
        <f aca="false">(1-ORCAMENTO!$O$10)*1.09183</f>
        <v>1.09183</v>
      </c>
      <c r="K127" s="222" t="n">
        <f aca="false">(1-ORCAMENTO!$O$10)*2.44114</f>
        <v>2.44114</v>
      </c>
      <c r="L127" s="222" t="n">
        <f aca="false">(1-ORCAMENTO!$O$10)*0</f>
        <v>0</v>
      </c>
      <c r="M127" s="222" t="n">
        <f aca="false">(1-ORCAMENTO!$O$10)*0</f>
        <v>0</v>
      </c>
      <c r="N127" s="150"/>
      <c r="O127" s="150"/>
      <c r="P127" s="150"/>
      <c r="Q127" s="150"/>
      <c r="R127" s="150"/>
      <c r="S127" s="150"/>
      <c r="T127" s="150"/>
      <c r="U127" s="150"/>
      <c r="V127" s="150"/>
      <c r="W127" s="150"/>
      <c r="X127" s="150"/>
      <c r="Y127" s="150"/>
      <c r="Z127" s="150"/>
    </row>
    <row r="128" customFormat="false" ht="14.25" hidden="false" customHeight="true" outlineLevel="0" collapsed="false">
      <c r="A128" s="228" t="s">
        <v>341</v>
      </c>
      <c r="B128" s="217" t="s">
        <v>69</v>
      </c>
      <c r="C128" s="228" t="s">
        <v>426</v>
      </c>
      <c r="D128" s="218" t="s">
        <v>427</v>
      </c>
      <c r="E128" s="219" t="s">
        <v>347</v>
      </c>
      <c r="F128" s="220" t="n">
        <v>0.054</v>
      </c>
      <c r="G128" s="221" t="n">
        <f aca="false">ROUND((1-ORCAMENTO!$O$10)*61.66,2)</f>
        <v>61.66</v>
      </c>
      <c r="H128" s="221" t="n">
        <f aca="false">(1-ORCAMENTO!$O$10)*3.32</f>
        <v>3.32</v>
      </c>
      <c r="I128" s="222" t="n">
        <f aca="false">(1-ORCAMENTO!$O$10)*0.36126</f>
        <v>0.36126</v>
      </c>
      <c r="J128" s="222" t="n">
        <f aca="false">(1-ORCAMENTO!$O$10)*1.43802</f>
        <v>1.43802</v>
      </c>
      <c r="K128" s="222" t="n">
        <f aca="false">(1-ORCAMENTO!$O$10)*1.53036</f>
        <v>1.53036</v>
      </c>
      <c r="L128" s="222" t="n">
        <f aca="false">(1-ORCAMENTO!$O$10)*0</f>
        <v>0</v>
      </c>
      <c r="M128" s="222" t="n">
        <f aca="false">(1-ORCAMENTO!$O$10)*0</f>
        <v>0</v>
      </c>
      <c r="N128" s="150"/>
      <c r="O128" s="150"/>
      <c r="P128" s="150"/>
      <c r="Q128" s="150"/>
      <c r="R128" s="150"/>
      <c r="S128" s="150"/>
      <c r="T128" s="150"/>
      <c r="U128" s="150"/>
      <c r="V128" s="150"/>
      <c r="W128" s="150"/>
      <c r="X128" s="150"/>
      <c r="Y128" s="150"/>
      <c r="Z128" s="150"/>
    </row>
    <row r="129" customFormat="false" ht="14.25" hidden="false" customHeight="true" outlineLevel="0" collapsed="false">
      <c r="A129" s="228" t="s">
        <v>341</v>
      </c>
      <c r="B129" s="217" t="s">
        <v>69</v>
      </c>
      <c r="C129" s="228" t="s">
        <v>348</v>
      </c>
      <c r="D129" s="218" t="s">
        <v>349</v>
      </c>
      <c r="E129" s="219" t="s">
        <v>71</v>
      </c>
      <c r="F129" s="220" t="n">
        <v>0.042</v>
      </c>
      <c r="G129" s="221" t="n">
        <f aca="false">ROUND((1-ORCAMENTO!$O$10)*25.12,2)</f>
        <v>25.12</v>
      </c>
      <c r="H129" s="221" t="n">
        <f aca="false">(1-ORCAMENTO!$O$10)*1.05</f>
        <v>1.05</v>
      </c>
      <c r="I129" s="222" t="n">
        <f aca="false">(1-ORCAMENTO!$O$10)*0.3234</f>
        <v>0.3234</v>
      </c>
      <c r="J129" s="222" t="n">
        <f aca="false">(1-ORCAMENTO!$O$10)*0.73164</f>
        <v>0.73164</v>
      </c>
      <c r="K129" s="222" t="n">
        <f aca="false">(1-ORCAMENTO!$O$10)*0</f>
        <v>0</v>
      </c>
      <c r="L129" s="222" t="n">
        <f aca="false">(1-ORCAMENTO!$O$10)*0</f>
        <v>0</v>
      </c>
      <c r="M129" s="222" t="n">
        <f aca="false">(1-ORCAMENTO!$O$10)*0</f>
        <v>0</v>
      </c>
      <c r="N129" s="150"/>
      <c r="O129" s="150"/>
      <c r="P129" s="150"/>
      <c r="Q129" s="150"/>
      <c r="R129" s="150"/>
      <c r="S129" s="150"/>
      <c r="T129" s="150"/>
      <c r="U129" s="150"/>
      <c r="V129" s="150"/>
      <c r="W129" s="150"/>
      <c r="X129" s="150"/>
      <c r="Y129" s="150"/>
      <c r="Z129" s="150"/>
    </row>
    <row r="130" customFormat="false" ht="14.25" hidden="false" customHeight="true" outlineLevel="0" collapsed="false">
      <c r="A130" s="228" t="s">
        <v>341</v>
      </c>
      <c r="B130" s="217" t="s">
        <v>69</v>
      </c>
      <c r="C130" s="228" t="s">
        <v>463</v>
      </c>
      <c r="D130" s="218" t="s">
        <v>464</v>
      </c>
      <c r="E130" s="219" t="s">
        <v>344</v>
      </c>
      <c r="F130" s="220" t="n">
        <v>0.205</v>
      </c>
      <c r="G130" s="221" t="n">
        <f aca="false">ROUND((1-ORCAMENTO!$O$10)*40.6,2)</f>
        <v>40.6</v>
      </c>
      <c r="H130" s="221" t="n">
        <f aca="false">(1-ORCAMENTO!$O$10)*8.32</f>
        <v>8.32</v>
      </c>
      <c r="I130" s="222" t="n">
        <f aca="false">(1-ORCAMENTO!$O$10)*2.62605</f>
        <v>2.62605</v>
      </c>
      <c r="J130" s="222" t="n">
        <f aca="false">(1-ORCAMENTO!$O$10)*5.36895</f>
        <v>5.36895</v>
      </c>
      <c r="K130" s="222" t="n">
        <f aca="false">(1-ORCAMENTO!$O$10)*0.328</f>
        <v>0.328</v>
      </c>
      <c r="L130" s="222" t="n">
        <f aca="false">(1-ORCAMENTO!$O$10)*0</f>
        <v>0</v>
      </c>
      <c r="M130" s="222" t="n">
        <f aca="false">(1-ORCAMENTO!$O$10)*0</f>
        <v>0</v>
      </c>
      <c r="N130" s="150"/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50"/>
      <c r="Z130" s="150"/>
    </row>
    <row r="131" customFormat="false" ht="14.25" hidden="false" customHeight="true" outlineLevel="0" collapsed="false">
      <c r="A131" s="228" t="s">
        <v>341</v>
      </c>
      <c r="B131" s="217" t="s">
        <v>69</v>
      </c>
      <c r="C131" s="228" t="s">
        <v>465</v>
      </c>
      <c r="D131" s="218" t="s">
        <v>466</v>
      </c>
      <c r="E131" s="219" t="s">
        <v>347</v>
      </c>
      <c r="F131" s="220" t="n">
        <v>0.19</v>
      </c>
      <c r="G131" s="221" t="n">
        <f aca="false">ROUND((1-ORCAMENTO!$O$10)*33.64,2)</f>
        <v>33.64</v>
      </c>
      <c r="H131" s="221" t="n">
        <f aca="false">(1-ORCAMENTO!$O$10)*6.39</f>
        <v>6.39</v>
      </c>
      <c r="I131" s="222" t="n">
        <f aca="false">(1-ORCAMENTO!$O$10)*1.2711</f>
        <v>1.2711</v>
      </c>
      <c r="J131" s="222" t="n">
        <f aca="false">(1-ORCAMENTO!$O$10)*4.9761</f>
        <v>4.9761</v>
      </c>
      <c r="K131" s="222" t="n">
        <f aca="false">(1-ORCAMENTO!$O$10)*0.1444</f>
        <v>0.1444</v>
      </c>
      <c r="L131" s="222" t="n">
        <f aca="false">(1-ORCAMENTO!$O$10)*0</f>
        <v>0</v>
      </c>
      <c r="M131" s="222" t="n">
        <f aca="false">(1-ORCAMENTO!$O$10)*0</f>
        <v>0</v>
      </c>
      <c r="N131" s="150"/>
      <c r="O131" s="150"/>
      <c r="P131" s="150"/>
      <c r="Q131" s="150"/>
      <c r="R131" s="150"/>
      <c r="S131" s="150"/>
      <c r="T131" s="150"/>
      <c r="U131" s="150"/>
      <c r="V131" s="150"/>
      <c r="W131" s="150"/>
      <c r="X131" s="150"/>
      <c r="Y131" s="150"/>
      <c r="Z131" s="150"/>
    </row>
    <row r="132" customFormat="false" ht="14.25" hidden="false" customHeight="true" outlineLevel="0" collapsed="false">
      <c r="A132" s="228" t="s">
        <v>341</v>
      </c>
      <c r="B132" s="217" t="s">
        <v>69</v>
      </c>
      <c r="C132" s="228" t="s">
        <v>467</v>
      </c>
      <c r="D132" s="218" t="s">
        <v>468</v>
      </c>
      <c r="E132" s="219" t="s">
        <v>85</v>
      </c>
      <c r="F132" s="220" t="n">
        <v>1</v>
      </c>
      <c r="G132" s="221" t="n">
        <f aca="false">ROUND((1-ORCAMENTO!$O$10)*2.11,2)</f>
        <v>2.11</v>
      </c>
      <c r="H132" s="221" t="n">
        <f aca="false">(1-ORCAMENTO!$O$10)*2.11</f>
        <v>2.11</v>
      </c>
      <c r="I132" s="222" t="n">
        <f aca="false">(1-ORCAMENTO!$O$10)*1.07</f>
        <v>1.07</v>
      </c>
      <c r="J132" s="222" t="n">
        <f aca="false">(1-ORCAMENTO!$O$10)*0.38</f>
        <v>0.38</v>
      </c>
      <c r="K132" s="222" t="n">
        <f aca="false">(1-ORCAMENTO!$O$10)*0.66</f>
        <v>0.66</v>
      </c>
      <c r="L132" s="222" t="n">
        <f aca="false">(1-ORCAMENTO!$O$10)*0</f>
        <v>0</v>
      </c>
      <c r="M132" s="222" t="n">
        <f aca="false">(1-ORCAMENTO!$O$10)*0</f>
        <v>0</v>
      </c>
      <c r="N132" s="150"/>
      <c r="O132" s="150"/>
      <c r="P132" s="150"/>
      <c r="Q132" s="150"/>
      <c r="R132" s="150"/>
      <c r="S132" s="150"/>
      <c r="T132" s="150"/>
      <c r="U132" s="150"/>
      <c r="V132" s="150"/>
      <c r="W132" s="150"/>
      <c r="X132" s="150"/>
      <c r="Y132" s="150"/>
      <c r="Z132" s="150"/>
    </row>
    <row r="133" customFormat="false" ht="14.25" hidden="false" customHeight="true" outlineLevel="0" collapsed="false">
      <c r="A133" s="217"/>
      <c r="B133" s="217"/>
      <c r="C133" s="228"/>
      <c r="D133" s="218"/>
      <c r="E133" s="219"/>
      <c r="F133" s="220"/>
      <c r="G133" s="221"/>
      <c r="H133" s="221"/>
      <c r="I133" s="222"/>
      <c r="J133" s="222"/>
      <c r="K133" s="222"/>
      <c r="L133" s="222"/>
      <c r="M133" s="22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customFormat="false" ht="14.25" hidden="false" customHeight="true" outlineLevel="0" collapsed="false">
      <c r="A134" s="223" t="s">
        <v>469</v>
      </c>
      <c r="B134" s="160" t="s">
        <v>69</v>
      </c>
      <c r="C134" s="223"/>
      <c r="D134" s="224" t="s">
        <v>116</v>
      </c>
      <c r="E134" s="159" t="s">
        <v>106</v>
      </c>
      <c r="F134" s="225"/>
      <c r="G134" s="226"/>
      <c r="H134" s="226" t="n">
        <f aca="false">SUM($I$134:$M$134)</f>
        <v>50</v>
      </c>
      <c r="I134" s="227" t="n">
        <f aca="false">ROUND((1-ORCAMENTO!$O$10)*33.11,2)</f>
        <v>33.11</v>
      </c>
      <c r="J134" s="227" t="n">
        <f aca="false">ROUND((1-ORCAMENTO!$O$10)*16.89,2)</f>
        <v>16.89</v>
      </c>
      <c r="K134" s="227" t="n">
        <f aca="false">ROUND((1-ORCAMENTO!$O$10)*0,2)</f>
        <v>0</v>
      </c>
      <c r="L134" s="227" t="n">
        <f aca="false">ROUND((1-ORCAMENTO!$O$10)*0,2)</f>
        <v>0</v>
      </c>
      <c r="M134" s="227" t="n">
        <f aca="false">ROUND((1-ORCAMENTO!$O$10)*0,2)</f>
        <v>0</v>
      </c>
      <c r="N134" s="150"/>
      <c r="O134" s="150"/>
      <c r="P134" s="150"/>
      <c r="Q134" s="150"/>
      <c r="R134" s="150"/>
      <c r="S134" s="150"/>
      <c r="T134" s="150"/>
      <c r="U134" s="150"/>
      <c r="V134" s="150"/>
      <c r="W134" s="150"/>
      <c r="X134" s="150"/>
      <c r="Y134" s="150"/>
      <c r="Z134" s="150"/>
    </row>
    <row r="135" customFormat="false" ht="14.25" hidden="false" customHeight="true" outlineLevel="0" collapsed="false">
      <c r="A135" s="228" t="s">
        <v>341</v>
      </c>
      <c r="B135" s="217" t="s">
        <v>383</v>
      </c>
      <c r="C135" s="228" t="s">
        <v>384</v>
      </c>
      <c r="D135" s="218" t="s">
        <v>385</v>
      </c>
      <c r="E135" s="219" t="s">
        <v>85</v>
      </c>
      <c r="F135" s="220" t="n">
        <v>0.007</v>
      </c>
      <c r="G135" s="221" t="n">
        <f aca="false">ROUND((1-ORCAMENTO!$O$10)*115,2)</f>
        <v>115</v>
      </c>
      <c r="H135" s="221" t="n">
        <f aca="false">(1-ORCAMENTO!$O$10)*0.8</f>
        <v>0.8</v>
      </c>
      <c r="I135" s="222" t="s">
        <v>386</v>
      </c>
      <c r="J135" s="222" t="s">
        <v>386</v>
      </c>
      <c r="K135" s="222" t="s">
        <v>386</v>
      </c>
      <c r="L135" s="222" t="s">
        <v>386</v>
      </c>
      <c r="M135" s="222" t="s">
        <v>386</v>
      </c>
      <c r="N135" s="150"/>
      <c r="O135" s="150"/>
      <c r="P135" s="150"/>
      <c r="Q135" s="150"/>
      <c r="R135" s="150"/>
      <c r="S135" s="150"/>
      <c r="T135" s="150"/>
      <c r="U135" s="150"/>
      <c r="V135" s="150"/>
      <c r="W135" s="150"/>
      <c r="X135" s="150"/>
      <c r="Y135" s="150"/>
      <c r="Z135" s="150"/>
    </row>
    <row r="136" customFormat="false" ht="14.25" hidden="false" customHeight="true" outlineLevel="0" collapsed="false">
      <c r="A136" s="228" t="s">
        <v>341</v>
      </c>
      <c r="B136" s="217" t="s">
        <v>383</v>
      </c>
      <c r="C136" s="228" t="s">
        <v>470</v>
      </c>
      <c r="D136" s="218" t="s">
        <v>471</v>
      </c>
      <c r="E136" s="219" t="s">
        <v>106</v>
      </c>
      <c r="F136" s="220" t="n">
        <v>1.005</v>
      </c>
      <c r="G136" s="221" t="n">
        <f aca="false">ROUND((1-ORCAMENTO!$O$10)*25.03,2)</f>
        <v>25.03</v>
      </c>
      <c r="H136" s="221" t="n">
        <f aca="false">(1-ORCAMENTO!$O$10)*25.15</f>
        <v>25.15</v>
      </c>
      <c r="I136" s="222" t="s">
        <v>386</v>
      </c>
      <c r="J136" s="222" t="s">
        <v>386</v>
      </c>
      <c r="K136" s="222" t="s">
        <v>386</v>
      </c>
      <c r="L136" s="222" t="s">
        <v>386</v>
      </c>
      <c r="M136" s="222" t="s">
        <v>386</v>
      </c>
      <c r="N136" s="150"/>
      <c r="O136" s="150"/>
      <c r="P136" s="150"/>
      <c r="Q136" s="150"/>
      <c r="R136" s="150"/>
      <c r="S136" s="150"/>
      <c r="T136" s="150"/>
      <c r="U136" s="150"/>
      <c r="V136" s="150"/>
      <c r="W136" s="150"/>
      <c r="X136" s="150"/>
      <c r="Y136" s="150"/>
      <c r="Z136" s="150"/>
    </row>
    <row r="137" customFormat="false" ht="14.25" hidden="false" customHeight="true" outlineLevel="0" collapsed="false">
      <c r="A137" s="228" t="s">
        <v>341</v>
      </c>
      <c r="B137" s="217" t="s">
        <v>69</v>
      </c>
      <c r="C137" s="228" t="s">
        <v>399</v>
      </c>
      <c r="D137" s="218" t="s">
        <v>400</v>
      </c>
      <c r="E137" s="219" t="s">
        <v>71</v>
      </c>
      <c r="F137" s="220" t="n">
        <v>0.394</v>
      </c>
      <c r="G137" s="221" t="n">
        <f aca="false">ROUND((1-ORCAMENTO!$O$10)*32.55,2)</f>
        <v>32.55</v>
      </c>
      <c r="H137" s="221" t="n">
        <f aca="false">(1-ORCAMENTO!$O$10)*12.82</f>
        <v>12.82</v>
      </c>
      <c r="I137" s="222" t="n">
        <f aca="false">(1-ORCAMENTO!$O$10)*3.10078</f>
        <v>3.10078</v>
      </c>
      <c r="J137" s="222" t="n">
        <f aca="false">(1-ORCAMENTO!$O$10)*9.72392</f>
        <v>9.72392</v>
      </c>
      <c r="K137" s="222" t="n">
        <f aca="false">(1-ORCAMENTO!$O$10)*0</f>
        <v>0</v>
      </c>
      <c r="L137" s="222" t="n">
        <f aca="false">(1-ORCAMENTO!$O$10)*0</f>
        <v>0</v>
      </c>
      <c r="M137" s="222" t="n">
        <f aca="false">(1-ORCAMENTO!$O$10)*0</f>
        <v>0</v>
      </c>
      <c r="N137" s="150"/>
      <c r="O137" s="150"/>
      <c r="P137" s="150"/>
      <c r="Q137" s="150"/>
      <c r="R137" s="150"/>
      <c r="S137" s="150"/>
      <c r="T137" s="150"/>
      <c r="U137" s="150"/>
      <c r="V137" s="150"/>
      <c r="W137" s="150"/>
      <c r="X137" s="150"/>
      <c r="Y137" s="150"/>
      <c r="Z137" s="150"/>
    </row>
    <row r="138" customFormat="false" ht="14.25" hidden="false" customHeight="true" outlineLevel="0" collapsed="false">
      <c r="A138" s="228" t="s">
        <v>341</v>
      </c>
      <c r="B138" s="217" t="s">
        <v>69</v>
      </c>
      <c r="C138" s="228" t="s">
        <v>348</v>
      </c>
      <c r="D138" s="218" t="s">
        <v>349</v>
      </c>
      <c r="E138" s="219" t="s">
        <v>71</v>
      </c>
      <c r="F138" s="220" t="n">
        <v>0.394</v>
      </c>
      <c r="G138" s="221" t="n">
        <f aca="false">ROUND((1-ORCAMENTO!$O$10)*25.12,2)</f>
        <v>25.12</v>
      </c>
      <c r="H138" s="221" t="n">
        <f aca="false">(1-ORCAMENTO!$O$10)*9.89</f>
        <v>9.89</v>
      </c>
      <c r="I138" s="222" t="n">
        <f aca="false">(1-ORCAMENTO!$O$10)*3.0338</f>
        <v>3.0338</v>
      </c>
      <c r="J138" s="222" t="n">
        <f aca="false">(1-ORCAMENTO!$O$10)*6.86348</f>
        <v>6.86348</v>
      </c>
      <c r="K138" s="222" t="n">
        <f aca="false">(1-ORCAMENTO!$O$10)*0</f>
        <v>0</v>
      </c>
      <c r="L138" s="222" t="n">
        <f aca="false">(1-ORCAMENTO!$O$10)*0</f>
        <v>0</v>
      </c>
      <c r="M138" s="222" t="n">
        <f aca="false">(1-ORCAMENTO!$O$10)*0</f>
        <v>0</v>
      </c>
      <c r="N138" s="150"/>
      <c r="O138" s="150"/>
      <c r="P138" s="150"/>
      <c r="Q138" s="150"/>
      <c r="R138" s="150"/>
      <c r="S138" s="150"/>
      <c r="T138" s="150"/>
      <c r="U138" s="150"/>
      <c r="V138" s="150"/>
      <c r="W138" s="150"/>
      <c r="X138" s="150"/>
      <c r="Y138" s="150"/>
      <c r="Z138" s="150"/>
    </row>
    <row r="139" customFormat="false" ht="14.25" hidden="false" customHeight="true" outlineLevel="0" collapsed="false">
      <c r="A139" s="228" t="s">
        <v>341</v>
      </c>
      <c r="B139" s="217" t="s">
        <v>69</v>
      </c>
      <c r="C139" s="228" t="s">
        <v>401</v>
      </c>
      <c r="D139" s="218" t="s">
        <v>402</v>
      </c>
      <c r="E139" s="219" t="s">
        <v>85</v>
      </c>
      <c r="F139" s="220" t="n">
        <v>0.002</v>
      </c>
      <c r="G139" s="221" t="n">
        <f aca="false">ROUND((1-ORCAMENTO!$O$10)*671.56,2)</f>
        <v>671.56</v>
      </c>
      <c r="H139" s="221" t="n">
        <f aca="false">(1-ORCAMENTO!$O$10)*1.34</f>
        <v>1.34</v>
      </c>
      <c r="I139" s="222" t="n">
        <f aca="false">(1-ORCAMENTO!$O$10)*1.04456</f>
        <v>1.04456</v>
      </c>
      <c r="J139" s="222" t="n">
        <f aca="false">(1-ORCAMENTO!$O$10)*0.29856</f>
        <v>0.29856</v>
      </c>
      <c r="K139" s="222" t="n">
        <f aca="false">(1-ORCAMENTO!$O$10)*0</f>
        <v>0</v>
      </c>
      <c r="L139" s="222" t="n">
        <f aca="false">(1-ORCAMENTO!$O$10)*0</f>
        <v>0</v>
      </c>
      <c r="M139" s="222" t="n">
        <f aca="false">(1-ORCAMENTO!$O$10)*0</f>
        <v>0</v>
      </c>
      <c r="N139" s="150"/>
      <c r="O139" s="150"/>
      <c r="P139" s="150"/>
      <c r="Q139" s="150"/>
      <c r="R139" s="150"/>
      <c r="S139" s="150"/>
      <c r="T139" s="150"/>
      <c r="U139" s="150"/>
      <c r="V139" s="150"/>
      <c r="W139" s="150"/>
      <c r="X139" s="150"/>
      <c r="Y139" s="150"/>
      <c r="Z139" s="150"/>
    </row>
    <row r="140" customFormat="false" ht="14.25" hidden="false" customHeight="true" outlineLevel="0" collapsed="false">
      <c r="A140" s="228"/>
      <c r="B140" s="217"/>
      <c r="C140" s="228"/>
      <c r="D140" s="218"/>
      <c r="E140" s="219"/>
      <c r="F140" s="220"/>
      <c r="G140" s="221"/>
      <c r="H140" s="221"/>
      <c r="I140" s="222"/>
      <c r="J140" s="222"/>
      <c r="K140" s="222"/>
      <c r="L140" s="222"/>
      <c r="M140" s="222"/>
      <c r="N140" s="150"/>
      <c r="O140" s="150"/>
      <c r="P140" s="150"/>
      <c r="Q140" s="150"/>
      <c r="R140" s="150"/>
      <c r="S140" s="150"/>
      <c r="T140" s="150"/>
      <c r="U140" s="150"/>
      <c r="V140" s="150"/>
      <c r="W140" s="150"/>
      <c r="X140" s="150"/>
      <c r="Y140" s="150"/>
      <c r="Z140" s="150"/>
    </row>
    <row r="141" customFormat="false" ht="14.25" hidden="false" customHeight="true" outlineLevel="0" collapsed="false">
      <c r="A141" s="223" t="s">
        <v>472</v>
      </c>
      <c r="B141" s="160" t="s">
        <v>69</v>
      </c>
      <c r="C141" s="223"/>
      <c r="D141" s="224" t="s">
        <v>150</v>
      </c>
      <c r="E141" s="159" t="s">
        <v>85</v>
      </c>
      <c r="F141" s="225"/>
      <c r="G141" s="226"/>
      <c r="H141" s="226" t="n">
        <f aca="false">SUM($I$141:$M$141)</f>
        <v>437.99</v>
      </c>
      <c r="I141" s="227" t="n">
        <f aca="false">ROUND((1-ORCAMENTO!$O$10)*374.83,2)</f>
        <v>374.83</v>
      </c>
      <c r="J141" s="227" t="n">
        <f aca="false">ROUND((1-ORCAMENTO!$O$10)*59.54,2)</f>
        <v>59.54</v>
      </c>
      <c r="K141" s="227" t="n">
        <f aca="false">ROUND((1-ORCAMENTO!$O$10)*2.47,2)</f>
        <v>2.47</v>
      </c>
      <c r="L141" s="227" t="n">
        <f aca="false">ROUND((1-ORCAMENTO!$O$10)*0,2)</f>
        <v>0</v>
      </c>
      <c r="M141" s="227" t="n">
        <f aca="false">ROUND((1-ORCAMENTO!$O$10)*1.15,2)</f>
        <v>1.15</v>
      </c>
      <c r="N141" s="150"/>
      <c r="O141" s="150"/>
      <c r="P141" s="150"/>
      <c r="Q141" s="150"/>
      <c r="R141" s="150"/>
      <c r="S141" s="150"/>
      <c r="T141" s="150"/>
      <c r="U141" s="150"/>
      <c r="V141" s="150"/>
      <c r="W141" s="150"/>
      <c r="X141" s="150"/>
      <c r="Y141" s="150"/>
      <c r="Z141" s="150"/>
    </row>
    <row r="142" customFormat="false" ht="14.25" hidden="false" customHeight="true" outlineLevel="0" collapsed="false">
      <c r="A142" s="228" t="s">
        <v>341</v>
      </c>
      <c r="B142" s="217" t="s">
        <v>383</v>
      </c>
      <c r="C142" s="228" t="s">
        <v>384</v>
      </c>
      <c r="D142" s="218" t="s">
        <v>385</v>
      </c>
      <c r="E142" s="219" t="s">
        <v>85</v>
      </c>
      <c r="F142" s="220" t="n">
        <v>0.7609</v>
      </c>
      <c r="G142" s="221" t="n">
        <f aca="false">ROUND((1-ORCAMENTO!$O$10)*115,2)</f>
        <v>115</v>
      </c>
      <c r="H142" s="221" t="n">
        <f aca="false">(1-ORCAMENTO!$O$10)*87.5</f>
        <v>87.5</v>
      </c>
      <c r="I142" s="222" t="s">
        <v>386</v>
      </c>
      <c r="J142" s="222" t="s">
        <v>386</v>
      </c>
      <c r="K142" s="222" t="s">
        <v>386</v>
      </c>
      <c r="L142" s="222" t="s">
        <v>386</v>
      </c>
      <c r="M142" s="222" t="s">
        <v>386</v>
      </c>
      <c r="N142" s="150"/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</row>
    <row r="143" customFormat="false" ht="14.25" hidden="false" customHeight="true" outlineLevel="0" collapsed="false">
      <c r="A143" s="228" t="s">
        <v>341</v>
      </c>
      <c r="B143" s="217" t="s">
        <v>383</v>
      </c>
      <c r="C143" s="228" t="s">
        <v>473</v>
      </c>
      <c r="D143" s="218" t="s">
        <v>474</v>
      </c>
      <c r="E143" s="219" t="s">
        <v>127</v>
      </c>
      <c r="F143" s="220" t="n">
        <v>325.1589</v>
      </c>
      <c r="G143" s="221" t="n">
        <f aca="false">ROUND((1-ORCAMENTO!$O$10)*0.69,2)</f>
        <v>0.69</v>
      </c>
      <c r="H143" s="221" t="n">
        <f aca="false">(1-ORCAMENTO!$O$10)*224.35</f>
        <v>224.35</v>
      </c>
      <c r="I143" s="222" t="s">
        <v>386</v>
      </c>
      <c r="J143" s="222" t="s">
        <v>386</v>
      </c>
      <c r="K143" s="222" t="s">
        <v>386</v>
      </c>
      <c r="L143" s="222" t="s">
        <v>386</v>
      </c>
      <c r="M143" s="222" t="s">
        <v>386</v>
      </c>
      <c r="N143" s="150"/>
      <c r="O143" s="150"/>
      <c r="P143" s="150"/>
      <c r="Q143" s="150"/>
      <c r="R143" s="150"/>
      <c r="S143" s="150"/>
      <c r="T143" s="150"/>
      <c r="U143" s="150"/>
      <c r="V143" s="150"/>
      <c r="W143" s="150"/>
      <c r="X143" s="150"/>
      <c r="Y143" s="150"/>
      <c r="Z143" s="150"/>
    </row>
    <row r="144" customFormat="false" ht="14.25" hidden="false" customHeight="true" outlineLevel="0" collapsed="false">
      <c r="A144" s="228" t="s">
        <v>341</v>
      </c>
      <c r="B144" s="217" t="s">
        <v>383</v>
      </c>
      <c r="C144" s="228" t="s">
        <v>475</v>
      </c>
      <c r="D144" s="218" t="s">
        <v>476</v>
      </c>
      <c r="E144" s="219" t="s">
        <v>85</v>
      </c>
      <c r="F144" s="220" t="n">
        <v>0.5912</v>
      </c>
      <c r="G144" s="221" t="n">
        <f aca="false">ROUND((1-ORCAMENTO!$O$10)*65.65,2)</f>
        <v>65.65</v>
      </c>
      <c r="H144" s="221" t="n">
        <f aca="false">(1-ORCAMENTO!$O$10)*38.81</f>
        <v>38.81</v>
      </c>
      <c r="I144" s="222" t="s">
        <v>386</v>
      </c>
      <c r="J144" s="222" t="s">
        <v>386</v>
      </c>
      <c r="K144" s="222" t="s">
        <v>386</v>
      </c>
      <c r="L144" s="222" t="s">
        <v>386</v>
      </c>
      <c r="M144" s="222" t="s">
        <v>386</v>
      </c>
      <c r="N144" s="150"/>
      <c r="O144" s="150"/>
      <c r="P144" s="150"/>
      <c r="Q144" s="150"/>
      <c r="R144" s="150"/>
      <c r="S144" s="150"/>
      <c r="T144" s="150"/>
      <c r="U144" s="150"/>
      <c r="V144" s="150"/>
      <c r="W144" s="150"/>
      <c r="X144" s="150"/>
      <c r="Y144" s="150"/>
      <c r="Z144" s="150"/>
    </row>
    <row r="145" customFormat="false" ht="14.25" hidden="false" customHeight="true" outlineLevel="0" collapsed="false">
      <c r="A145" s="228" t="s">
        <v>341</v>
      </c>
      <c r="B145" s="217" t="s">
        <v>69</v>
      </c>
      <c r="C145" s="228" t="s">
        <v>348</v>
      </c>
      <c r="D145" s="218" t="s">
        <v>349</v>
      </c>
      <c r="E145" s="219" t="s">
        <v>71</v>
      </c>
      <c r="F145" s="220" t="n">
        <v>2.0267</v>
      </c>
      <c r="G145" s="221" t="n">
        <f aca="false">ROUND((1-ORCAMENTO!$O$10)*25.12,2)</f>
        <v>25.12</v>
      </c>
      <c r="H145" s="221" t="n">
        <f aca="false">(1-ORCAMENTO!$O$10)*50.91</f>
        <v>50.91</v>
      </c>
      <c r="I145" s="222" t="n">
        <f aca="false">(1-ORCAMENTO!$O$10)*15.60559</f>
        <v>15.60559</v>
      </c>
      <c r="J145" s="222" t="n">
        <f aca="false">(1-ORCAMENTO!$O$10)*35.305114</f>
        <v>35.305114</v>
      </c>
      <c r="K145" s="222" t="n">
        <f aca="false">(1-ORCAMENTO!$O$10)*0</f>
        <v>0</v>
      </c>
      <c r="L145" s="222" t="n">
        <f aca="false">(1-ORCAMENTO!$O$10)*0</f>
        <v>0</v>
      </c>
      <c r="M145" s="222" t="n">
        <f aca="false">(1-ORCAMENTO!$O$10)*0</f>
        <v>0</v>
      </c>
      <c r="N145" s="150"/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</row>
    <row r="146" customFormat="false" ht="14.25" hidden="false" customHeight="true" outlineLevel="0" collapsed="false">
      <c r="A146" s="228" t="s">
        <v>341</v>
      </c>
      <c r="B146" s="217" t="s">
        <v>69</v>
      </c>
      <c r="C146" s="228" t="s">
        <v>477</v>
      </c>
      <c r="D146" s="218" t="s">
        <v>478</v>
      </c>
      <c r="E146" s="219" t="s">
        <v>71</v>
      </c>
      <c r="F146" s="220" t="n">
        <v>1.2768</v>
      </c>
      <c r="G146" s="221" t="n">
        <f aca="false">ROUND((1-ORCAMENTO!$O$10)*25.68,2)</f>
        <v>25.68</v>
      </c>
      <c r="H146" s="221" t="n">
        <f aca="false">(1-ORCAMENTO!$O$10)*32.78</f>
        <v>32.78</v>
      </c>
      <c r="I146" s="222" t="n">
        <f aca="false">(1-ORCAMENTO!$O$10)*8.541792</f>
        <v>8.541792</v>
      </c>
      <c r="J146" s="222" t="n">
        <f aca="false">(1-ORCAMENTO!$O$10)*24.246432</f>
        <v>24.246432</v>
      </c>
      <c r="K146" s="222" t="n">
        <f aca="false">(1-ORCAMENTO!$O$10)*0</f>
        <v>0</v>
      </c>
      <c r="L146" s="222" t="n">
        <f aca="false">(1-ORCAMENTO!$O$10)*0</f>
        <v>0</v>
      </c>
      <c r="M146" s="222" t="n">
        <f aca="false">(1-ORCAMENTO!$O$10)*0</f>
        <v>0</v>
      </c>
      <c r="N146" s="150"/>
      <c r="O146" s="150"/>
      <c r="P146" s="150"/>
      <c r="Q146" s="150"/>
      <c r="R146" s="150"/>
      <c r="S146" s="150"/>
      <c r="T146" s="150"/>
      <c r="U146" s="150"/>
      <c r="V146" s="150"/>
      <c r="W146" s="150"/>
      <c r="X146" s="150"/>
      <c r="Y146" s="150"/>
      <c r="Z146" s="150"/>
    </row>
    <row r="147" customFormat="false" ht="14.25" hidden="false" customHeight="true" outlineLevel="0" collapsed="false">
      <c r="A147" s="228" t="s">
        <v>341</v>
      </c>
      <c r="B147" s="217" t="s">
        <v>69</v>
      </c>
      <c r="C147" s="228" t="s">
        <v>479</v>
      </c>
      <c r="D147" s="218" t="s">
        <v>480</v>
      </c>
      <c r="E147" s="219" t="s">
        <v>344</v>
      </c>
      <c r="F147" s="220" t="n">
        <v>0.6572</v>
      </c>
      <c r="G147" s="221" t="n">
        <f aca="false">ROUND((1-ORCAMENTO!$O$10)*4.34,2)</f>
        <v>4.34</v>
      </c>
      <c r="H147" s="221" t="n">
        <f aca="false">(1-ORCAMENTO!$O$10)*2.85</f>
        <v>2.85</v>
      </c>
      <c r="I147" s="222" t="n">
        <f aca="false">(1-ORCAMENTO!$O$10)*0</f>
        <v>0</v>
      </c>
      <c r="J147" s="222" t="n">
        <f aca="false">(1-ORCAMENTO!$O$10)*0</f>
        <v>0</v>
      </c>
      <c r="K147" s="222" t="n">
        <f aca="false">(1-ORCAMENTO!$O$10)*1.702148</f>
        <v>1.702148</v>
      </c>
      <c r="L147" s="222" t="n">
        <f aca="false">(1-ORCAMENTO!$O$10)*0</f>
        <v>0</v>
      </c>
      <c r="M147" s="222" t="n">
        <f aca="false">(1-ORCAMENTO!$O$10)*1.1501</f>
        <v>1.1501</v>
      </c>
      <c r="N147" s="150"/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</row>
    <row r="148" customFormat="false" ht="14.25" hidden="false" customHeight="true" outlineLevel="0" collapsed="false">
      <c r="A148" s="228" t="s">
        <v>341</v>
      </c>
      <c r="B148" s="217" t="s">
        <v>69</v>
      </c>
      <c r="C148" s="228" t="s">
        <v>481</v>
      </c>
      <c r="D148" s="218" t="s">
        <v>482</v>
      </c>
      <c r="E148" s="219" t="s">
        <v>347</v>
      </c>
      <c r="F148" s="220" t="n">
        <v>0.6197</v>
      </c>
      <c r="G148" s="221" t="n">
        <f aca="false">ROUND((1-ORCAMENTO!$O$10)*1.29,2)</f>
        <v>1.29</v>
      </c>
      <c r="H148" s="221" t="n">
        <f aca="false">(1-ORCAMENTO!$O$10)*0.79</f>
        <v>0.79</v>
      </c>
      <c r="I148" s="222" t="n">
        <f aca="false">(1-ORCAMENTO!$O$10)*0</f>
        <v>0</v>
      </c>
      <c r="J148" s="222" t="n">
        <f aca="false">(1-ORCAMENTO!$O$10)*0</f>
        <v>0</v>
      </c>
      <c r="K148" s="222" t="n">
        <f aca="false">(1-ORCAMENTO!$O$10)*0.799413</f>
        <v>0.799413</v>
      </c>
      <c r="L148" s="222" t="n">
        <f aca="false">(1-ORCAMENTO!$O$10)*0</f>
        <v>0</v>
      </c>
      <c r="M148" s="222" t="n">
        <f aca="false">(1-ORCAMENTO!$O$10)*0</f>
        <v>0</v>
      </c>
      <c r="N148" s="150"/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</row>
    <row r="149" customFormat="false" ht="14.25" hidden="false" customHeight="true" outlineLevel="0" collapsed="false">
      <c r="A149" s="228"/>
      <c r="B149" s="217"/>
      <c r="C149" s="228"/>
      <c r="D149" s="218"/>
      <c r="E149" s="219"/>
      <c r="F149" s="220"/>
      <c r="G149" s="221"/>
      <c r="H149" s="221"/>
      <c r="I149" s="222"/>
      <c r="J149" s="222"/>
      <c r="K149" s="222"/>
      <c r="L149" s="222"/>
      <c r="M149" s="222"/>
      <c r="N149" s="150"/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</row>
    <row r="150" customFormat="false" ht="14.25" hidden="false" customHeight="true" outlineLevel="0" collapsed="false">
      <c r="A150" s="223" t="s">
        <v>483</v>
      </c>
      <c r="B150" s="160" t="s">
        <v>69</v>
      </c>
      <c r="C150" s="223"/>
      <c r="D150" s="224" t="s">
        <v>89</v>
      </c>
      <c r="E150" s="159" t="s">
        <v>85</v>
      </c>
      <c r="F150" s="225"/>
      <c r="G150" s="226"/>
      <c r="H150" s="226" t="n">
        <f aca="false">SUM($I$150:$M$150)</f>
        <v>12.07</v>
      </c>
      <c r="I150" s="227" t="n">
        <f aca="false">ROUND((1-ORCAMENTO!$O$10)*2.42,2)</f>
        <v>2.42</v>
      </c>
      <c r="J150" s="227" t="n">
        <f aca="false">ROUND((1-ORCAMENTO!$O$10)*3.61,2)</f>
        <v>3.61</v>
      </c>
      <c r="K150" s="227" t="n">
        <f aca="false">ROUND((1-ORCAMENTO!$O$10)*6.04,2)</f>
        <v>6.04</v>
      </c>
      <c r="L150" s="227" t="n">
        <f aca="false">ROUND((1-ORCAMENTO!$O$10)*0,2)</f>
        <v>0</v>
      </c>
      <c r="M150" s="227" t="n">
        <f aca="false">ROUND((1-ORCAMENTO!$O$10)*0,2)</f>
        <v>0</v>
      </c>
      <c r="N150" s="150"/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</row>
    <row r="151" customFormat="false" ht="14.25" hidden="false" customHeight="true" outlineLevel="0" collapsed="false">
      <c r="A151" s="228" t="s">
        <v>341</v>
      </c>
      <c r="B151" s="217" t="s">
        <v>69</v>
      </c>
      <c r="C151" s="228" t="s">
        <v>351</v>
      </c>
      <c r="D151" s="218" t="s">
        <v>352</v>
      </c>
      <c r="E151" s="219" t="s">
        <v>344</v>
      </c>
      <c r="F151" s="220" t="n">
        <v>0.004</v>
      </c>
      <c r="G151" s="221" t="n">
        <f aca="false">ROUND((1-ORCAMENTO!$O$10)*280.15,2)</f>
        <v>280.15</v>
      </c>
      <c r="H151" s="221" t="n">
        <f aca="false">(1-ORCAMENTO!$O$10)*1.12</f>
        <v>1.12</v>
      </c>
      <c r="I151" s="222" t="n">
        <f aca="false">(1-ORCAMENTO!$O$10)*0.6442</f>
        <v>0.6442</v>
      </c>
      <c r="J151" s="222" t="n">
        <f aca="false">(1-ORCAMENTO!$O$10)*0.09996</f>
        <v>0.09996</v>
      </c>
      <c r="K151" s="222" t="n">
        <f aca="false">(1-ORCAMENTO!$O$10)*0.37644</f>
        <v>0.37644</v>
      </c>
      <c r="L151" s="222" t="n">
        <f aca="false">(1-ORCAMENTO!$O$10)*0</f>
        <v>0</v>
      </c>
      <c r="M151" s="222" t="n">
        <f aca="false">(1-ORCAMENTO!$O$10)*0</f>
        <v>0</v>
      </c>
      <c r="N151" s="150"/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</row>
    <row r="152" customFormat="false" ht="14.25" hidden="false" customHeight="true" outlineLevel="0" collapsed="false">
      <c r="A152" s="228" t="s">
        <v>341</v>
      </c>
      <c r="B152" s="217" t="s">
        <v>69</v>
      </c>
      <c r="C152" s="228" t="s">
        <v>353</v>
      </c>
      <c r="D152" s="218" t="s">
        <v>354</v>
      </c>
      <c r="E152" s="219" t="s">
        <v>347</v>
      </c>
      <c r="F152" s="220" t="n">
        <v>0.03</v>
      </c>
      <c r="G152" s="221" t="n">
        <f aca="false">ROUND((1-ORCAMENTO!$O$10)*72.35,2)</f>
        <v>72.35</v>
      </c>
      <c r="H152" s="221" t="n">
        <f aca="false">(1-ORCAMENTO!$O$10)*2.17</f>
        <v>2.17</v>
      </c>
      <c r="I152" s="222" t="n">
        <f aca="false">(1-ORCAMENTO!$O$10)*0.2007</f>
        <v>0.2007</v>
      </c>
      <c r="J152" s="222" t="n">
        <f aca="false">(1-ORCAMENTO!$O$10)*0.7497</f>
        <v>0.7497</v>
      </c>
      <c r="K152" s="222" t="n">
        <f aca="false">(1-ORCAMENTO!$O$10)*1.2201</f>
        <v>1.2201</v>
      </c>
      <c r="L152" s="222" t="n">
        <f aca="false">(1-ORCAMENTO!$O$10)*0</f>
        <v>0</v>
      </c>
      <c r="M152" s="222" t="n">
        <f aca="false">(1-ORCAMENTO!$O$10)*0</f>
        <v>0</v>
      </c>
      <c r="N152" s="150"/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  <c r="Z152" s="150"/>
    </row>
    <row r="153" customFormat="false" ht="14.25" hidden="false" customHeight="true" outlineLevel="0" collapsed="false">
      <c r="A153" s="217" t="s">
        <v>341</v>
      </c>
      <c r="B153" s="217" t="s">
        <v>69</v>
      </c>
      <c r="C153" s="228" t="s">
        <v>355</v>
      </c>
      <c r="D153" s="218" t="s">
        <v>356</v>
      </c>
      <c r="E153" s="219" t="s">
        <v>344</v>
      </c>
      <c r="F153" s="220" t="n">
        <v>0.006</v>
      </c>
      <c r="G153" s="221" t="n">
        <f aca="false">ROUND((1-ORCAMENTO!$O$10)*260.16,2)</f>
        <v>260.16</v>
      </c>
      <c r="H153" s="221" t="n">
        <f aca="false">(1-ORCAMENTO!$O$10)*1.56</f>
        <v>1.56</v>
      </c>
      <c r="I153" s="222" t="n">
        <f aca="false">(1-ORCAMENTO!$O$10)*0.44304</f>
        <v>0.44304</v>
      </c>
      <c r="J153" s="222" t="n">
        <f aca="false">(1-ORCAMENTO!$O$10)*0.18132</f>
        <v>0.18132</v>
      </c>
      <c r="K153" s="222" t="n">
        <f aca="false">(1-ORCAMENTO!$O$10)*0.9366</f>
        <v>0.9366</v>
      </c>
      <c r="L153" s="222" t="n">
        <f aca="false">(1-ORCAMENTO!$O$10)*0</f>
        <v>0</v>
      </c>
      <c r="M153" s="222" t="n">
        <f aca="false">(1-ORCAMENTO!$O$10)*0</f>
        <v>0</v>
      </c>
      <c r="N153" s="150"/>
      <c r="O153" s="150"/>
      <c r="P153" s="150"/>
      <c r="Q153" s="150"/>
      <c r="R153" s="150"/>
      <c r="S153" s="150"/>
      <c r="T153" s="150"/>
      <c r="U153" s="150"/>
      <c r="V153" s="150"/>
      <c r="W153" s="150"/>
      <c r="X153" s="150"/>
      <c r="Y153" s="150"/>
      <c r="Z153" s="150"/>
    </row>
    <row r="154" customFormat="false" ht="14.25" hidden="false" customHeight="true" outlineLevel="0" collapsed="false">
      <c r="A154" s="228" t="s">
        <v>341</v>
      </c>
      <c r="B154" s="217" t="s">
        <v>69</v>
      </c>
      <c r="C154" s="228" t="s">
        <v>357</v>
      </c>
      <c r="D154" s="218" t="s">
        <v>358</v>
      </c>
      <c r="E154" s="219" t="s">
        <v>347</v>
      </c>
      <c r="F154" s="220" t="n">
        <v>0.027</v>
      </c>
      <c r="G154" s="221" t="n">
        <f aca="false">ROUND((1-ORCAMENTO!$O$10)*102.99,2)</f>
        <v>102.99</v>
      </c>
      <c r="H154" s="221" t="n">
        <f aca="false">(1-ORCAMENTO!$O$10)*2.78</f>
        <v>2.78</v>
      </c>
      <c r="I154" s="222" t="n">
        <f aca="false">(1-ORCAMENTO!$O$10)*0.18063</f>
        <v>0.18063</v>
      </c>
      <c r="J154" s="222" t="n">
        <f aca="false">(1-ORCAMENTO!$O$10)*0.81594</f>
        <v>0.81594</v>
      </c>
      <c r="K154" s="222" t="n">
        <f aca="false">(1-ORCAMENTO!$O$10)*1.78416</f>
        <v>1.78416</v>
      </c>
      <c r="L154" s="222" t="n">
        <f aca="false">(1-ORCAMENTO!$O$10)*0</f>
        <v>0</v>
      </c>
      <c r="M154" s="222" t="n">
        <f aca="false">(1-ORCAMENTO!$O$10)*0</f>
        <v>0</v>
      </c>
      <c r="N154" s="150"/>
      <c r="O154" s="150"/>
      <c r="P154" s="150"/>
      <c r="Q154" s="150"/>
      <c r="R154" s="150"/>
      <c r="S154" s="150"/>
      <c r="T154" s="150"/>
      <c r="U154" s="150"/>
      <c r="V154" s="150"/>
      <c r="W154" s="150"/>
      <c r="X154" s="150"/>
      <c r="Y154" s="150"/>
      <c r="Z154" s="150"/>
    </row>
    <row r="155" customFormat="false" ht="14.25" hidden="false" customHeight="true" outlineLevel="0" collapsed="false">
      <c r="A155" s="228" t="s">
        <v>341</v>
      </c>
      <c r="B155" s="217" t="s">
        <v>69</v>
      </c>
      <c r="C155" s="228" t="s">
        <v>359</v>
      </c>
      <c r="D155" s="218" t="s">
        <v>360</v>
      </c>
      <c r="E155" s="219" t="s">
        <v>344</v>
      </c>
      <c r="F155" s="220" t="n">
        <v>0.01</v>
      </c>
      <c r="G155" s="221" t="n">
        <f aca="false">ROUND((1-ORCAMENTO!$O$10)*210.58,2)</f>
        <v>210.58</v>
      </c>
      <c r="H155" s="221" t="n">
        <f aca="false">(1-ORCAMENTO!$O$10)*2.1</f>
        <v>2.1</v>
      </c>
      <c r="I155" s="222" t="n">
        <f aca="false">(1-ORCAMENTO!$O$10)*0.6591</f>
        <v>0.6591</v>
      </c>
      <c r="J155" s="222" t="n">
        <f aca="false">(1-ORCAMENTO!$O$10)*0.6651</f>
        <v>0.6651</v>
      </c>
      <c r="K155" s="222" t="n">
        <f aca="false">(1-ORCAMENTO!$O$10)*0.7816</f>
        <v>0.7816</v>
      </c>
      <c r="L155" s="222" t="n">
        <f aca="false">(1-ORCAMENTO!$O$10)*0</f>
        <v>0</v>
      </c>
      <c r="M155" s="222" t="n">
        <f aca="false">(1-ORCAMENTO!$O$10)*0</f>
        <v>0</v>
      </c>
      <c r="N155" s="150"/>
      <c r="O155" s="150"/>
      <c r="P155" s="150"/>
      <c r="Q155" s="150"/>
      <c r="R155" s="150"/>
      <c r="S155" s="150"/>
      <c r="T155" s="150"/>
      <c r="U155" s="150"/>
      <c r="V155" s="150"/>
      <c r="W155" s="150"/>
      <c r="X155" s="150"/>
      <c r="Y155" s="150"/>
      <c r="Z155" s="150"/>
    </row>
    <row r="156" customFormat="false" ht="14.25" hidden="false" customHeight="true" outlineLevel="0" collapsed="false">
      <c r="A156" s="228" t="s">
        <v>341</v>
      </c>
      <c r="B156" s="217" t="s">
        <v>69</v>
      </c>
      <c r="C156" s="228" t="s">
        <v>348</v>
      </c>
      <c r="D156" s="218" t="s">
        <v>349</v>
      </c>
      <c r="E156" s="219" t="s">
        <v>71</v>
      </c>
      <c r="F156" s="220" t="n">
        <v>0.033</v>
      </c>
      <c r="G156" s="221" t="n">
        <f aca="false">ROUND((1-ORCAMENTO!$O$10)*25.12,2)</f>
        <v>25.12</v>
      </c>
      <c r="H156" s="221" t="n">
        <f aca="false">(1-ORCAMENTO!$O$10)*0.82</f>
        <v>0.82</v>
      </c>
      <c r="I156" s="222" t="n">
        <f aca="false">(1-ORCAMENTO!$O$10)*0.2541</f>
        <v>0.2541</v>
      </c>
      <c r="J156" s="222" t="n">
        <f aca="false">(1-ORCAMENTO!$O$10)*0.57486</f>
        <v>0.57486</v>
      </c>
      <c r="K156" s="222" t="n">
        <f aca="false">(1-ORCAMENTO!$O$10)*0</f>
        <v>0</v>
      </c>
      <c r="L156" s="222" t="n">
        <f aca="false">(1-ORCAMENTO!$O$10)*0</f>
        <v>0</v>
      </c>
      <c r="M156" s="222" t="n">
        <f aca="false">(1-ORCAMENTO!$O$10)*0</f>
        <v>0</v>
      </c>
      <c r="N156" s="150"/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</row>
    <row r="157" customFormat="false" ht="14.25" hidden="false" customHeight="true" outlineLevel="0" collapsed="false">
      <c r="A157" s="228" t="s">
        <v>341</v>
      </c>
      <c r="B157" s="217" t="s">
        <v>69</v>
      </c>
      <c r="C157" s="228" t="s">
        <v>361</v>
      </c>
      <c r="D157" s="218" t="s">
        <v>362</v>
      </c>
      <c r="E157" s="219" t="s">
        <v>347</v>
      </c>
      <c r="F157" s="220" t="n">
        <v>0.023</v>
      </c>
      <c r="G157" s="221" t="n">
        <f aca="false">ROUND((1-ORCAMENTO!$O$10)*66.1,2)</f>
        <v>66.1</v>
      </c>
      <c r="H157" s="221" t="n">
        <f aca="false">(1-ORCAMENTO!$O$10)*1.52</f>
        <v>1.52</v>
      </c>
      <c r="I157" s="222" t="n">
        <f aca="false">(1-ORCAMENTO!$O$10)*0.15387</f>
        <v>0.15387</v>
      </c>
      <c r="J157" s="222" t="n">
        <f aca="false">(1-ORCAMENTO!$O$10)*0.50991</f>
        <v>0.50991</v>
      </c>
      <c r="K157" s="222" t="n">
        <f aca="false">(1-ORCAMENTO!$O$10)*0.85652</f>
        <v>0.85652</v>
      </c>
      <c r="L157" s="222" t="n">
        <f aca="false">(1-ORCAMENTO!$O$10)*0</f>
        <v>0</v>
      </c>
      <c r="M157" s="222" t="n">
        <f aca="false">(1-ORCAMENTO!$O$10)*0</f>
        <v>0</v>
      </c>
      <c r="N157" s="150"/>
      <c r="O157" s="150"/>
      <c r="P157" s="150"/>
      <c r="Q157" s="150"/>
      <c r="R157" s="150"/>
      <c r="S157" s="150"/>
      <c r="T157" s="150"/>
      <c r="U157" s="150"/>
      <c r="V157" s="150"/>
      <c r="W157" s="150"/>
      <c r="X157" s="150"/>
      <c r="Y157" s="150"/>
      <c r="Z157" s="150"/>
    </row>
    <row r="158" customFormat="false" ht="14.25" hidden="false" customHeight="true" outlineLevel="0" collapsed="false">
      <c r="A158" s="228"/>
      <c r="B158" s="217"/>
      <c r="C158" s="228"/>
      <c r="D158" s="218"/>
      <c r="E158" s="219"/>
      <c r="F158" s="220"/>
      <c r="G158" s="221"/>
      <c r="H158" s="221"/>
      <c r="I158" s="222"/>
      <c r="J158" s="222"/>
      <c r="K158" s="222"/>
      <c r="L158" s="222"/>
      <c r="M158" s="222"/>
      <c r="N158" s="150"/>
      <c r="O158" s="150"/>
      <c r="P158" s="150"/>
      <c r="Q158" s="150"/>
      <c r="R158" s="150"/>
      <c r="S158" s="150"/>
      <c r="T158" s="150"/>
      <c r="U158" s="150"/>
      <c r="V158" s="150"/>
      <c r="W158" s="150"/>
      <c r="X158" s="150"/>
      <c r="Y158" s="150"/>
      <c r="Z158" s="150"/>
    </row>
    <row r="159" customFormat="false" ht="14.25" hidden="false" customHeight="true" outlineLevel="0" collapsed="false">
      <c r="A159" s="223" t="s">
        <v>484</v>
      </c>
      <c r="B159" s="160" t="s">
        <v>69</v>
      </c>
      <c r="C159" s="223"/>
      <c r="D159" s="224" t="s">
        <v>114</v>
      </c>
      <c r="E159" s="159" t="s">
        <v>85</v>
      </c>
      <c r="F159" s="225"/>
      <c r="G159" s="226"/>
      <c r="H159" s="226" t="n">
        <f aca="false">SUM($I$159:$M$159)</f>
        <v>119.79</v>
      </c>
      <c r="I159" s="227" t="n">
        <f aca="false">ROUND((1-ORCAMENTO!$O$10)*104.33,2)</f>
        <v>104.33</v>
      </c>
      <c r="J159" s="227" t="n">
        <f aca="false">ROUND((1-ORCAMENTO!$O$10)*5.08,2)</f>
        <v>5.08</v>
      </c>
      <c r="K159" s="227" t="n">
        <f aca="false">ROUND((1-ORCAMENTO!$O$10)*10.1,2)</f>
        <v>10.1</v>
      </c>
      <c r="L159" s="227" t="n">
        <f aca="false">ROUND((1-ORCAMENTO!$O$10)*0,2)</f>
        <v>0</v>
      </c>
      <c r="M159" s="227" t="n">
        <f aca="false">ROUND((1-ORCAMENTO!$O$10)*0.28,2)</f>
        <v>0.28</v>
      </c>
      <c r="N159" s="150"/>
      <c r="O159" s="150"/>
      <c r="P159" s="150"/>
      <c r="Q159" s="150"/>
      <c r="R159" s="150"/>
      <c r="S159" s="150"/>
      <c r="T159" s="150"/>
      <c r="U159" s="150"/>
      <c r="V159" s="150"/>
      <c r="W159" s="150"/>
      <c r="X159" s="150"/>
      <c r="Y159" s="150"/>
      <c r="Z159" s="150"/>
    </row>
    <row r="160" customFormat="false" ht="14.25" hidden="false" customHeight="true" outlineLevel="0" collapsed="false">
      <c r="A160" s="228" t="s">
        <v>341</v>
      </c>
      <c r="B160" s="217" t="s">
        <v>69</v>
      </c>
      <c r="C160" s="228" t="s">
        <v>485</v>
      </c>
      <c r="D160" s="218" t="s">
        <v>486</v>
      </c>
      <c r="E160" s="219" t="s">
        <v>344</v>
      </c>
      <c r="F160" s="220" t="n">
        <v>0.009</v>
      </c>
      <c r="G160" s="221" t="n">
        <f aca="false">ROUND((1-ORCAMENTO!$O$10)*149.87,2)</f>
        <v>149.87</v>
      </c>
      <c r="H160" s="221" t="n">
        <f aca="false">(1-ORCAMENTO!$O$10)*1.34</f>
        <v>1.34</v>
      </c>
      <c r="I160" s="222" t="n">
        <f aca="false">(1-ORCAMENTO!$O$10)*0.47277</f>
        <v>0.47277</v>
      </c>
      <c r="J160" s="222" t="n">
        <f aca="false">(1-ORCAMENTO!$O$10)*0.19953</f>
        <v>0.19953</v>
      </c>
      <c r="K160" s="222" t="n">
        <f aca="false">(1-ORCAMENTO!$O$10)*0.67653</f>
        <v>0.67653</v>
      </c>
      <c r="L160" s="222" t="n">
        <f aca="false">(1-ORCAMENTO!$O$10)*0</f>
        <v>0</v>
      </c>
      <c r="M160" s="222" t="n">
        <f aca="false">(1-ORCAMENTO!$O$10)*0</f>
        <v>0</v>
      </c>
      <c r="N160" s="150"/>
      <c r="O160" s="150"/>
      <c r="P160" s="150"/>
      <c r="Q160" s="150"/>
      <c r="R160" s="150"/>
      <c r="S160" s="150"/>
      <c r="T160" s="150"/>
      <c r="U160" s="150"/>
      <c r="V160" s="150"/>
      <c r="W160" s="150"/>
      <c r="X160" s="150"/>
      <c r="Y160" s="150"/>
      <c r="Z160" s="150"/>
    </row>
    <row r="161" customFormat="false" ht="14.25" hidden="false" customHeight="true" outlineLevel="0" collapsed="false">
      <c r="A161" s="217" t="s">
        <v>341</v>
      </c>
      <c r="B161" s="217" t="s">
        <v>69</v>
      </c>
      <c r="C161" s="228" t="s">
        <v>487</v>
      </c>
      <c r="D161" s="218" t="s">
        <v>488</v>
      </c>
      <c r="E161" s="219" t="s">
        <v>347</v>
      </c>
      <c r="F161" s="220" t="n">
        <v>0.021</v>
      </c>
      <c r="G161" s="221" t="n">
        <f aca="false">ROUND((1-ORCAMENTO!$O$10)*64.67,2)</f>
        <v>64.67</v>
      </c>
      <c r="H161" s="221" t="n">
        <f aca="false">(1-ORCAMENTO!$O$10)*1.35</f>
        <v>1.35</v>
      </c>
      <c r="I161" s="222" t="n">
        <f aca="false">(1-ORCAMENTO!$O$10)*0.14049</f>
        <v>0.14049</v>
      </c>
      <c r="J161" s="222" t="n">
        <f aca="false">(1-ORCAMENTO!$O$10)*0.46557</f>
        <v>0.46557</v>
      </c>
      <c r="K161" s="222" t="n">
        <f aca="false">(1-ORCAMENTO!$O$10)*0.75201</f>
        <v>0.75201</v>
      </c>
      <c r="L161" s="222" t="n">
        <f aca="false">(1-ORCAMENTO!$O$10)*0</f>
        <v>0</v>
      </c>
      <c r="M161" s="222" t="n">
        <f aca="false">(1-ORCAMENTO!$O$10)*0</f>
        <v>0</v>
      </c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customFormat="false" ht="14.25" hidden="false" customHeight="true" outlineLevel="0" collapsed="false">
      <c r="A162" s="228" t="s">
        <v>341</v>
      </c>
      <c r="B162" s="217" t="s">
        <v>69</v>
      </c>
      <c r="C162" s="228" t="s">
        <v>351</v>
      </c>
      <c r="D162" s="218" t="s">
        <v>352</v>
      </c>
      <c r="E162" s="219" t="s">
        <v>344</v>
      </c>
      <c r="F162" s="220" t="n">
        <v>0.002</v>
      </c>
      <c r="G162" s="221" t="n">
        <f aca="false">ROUND((1-ORCAMENTO!$O$10)*280.15,2)</f>
        <v>280.15</v>
      </c>
      <c r="H162" s="221" t="n">
        <f aca="false">(1-ORCAMENTO!$O$10)*0.56</f>
        <v>0.56</v>
      </c>
      <c r="I162" s="222" t="n">
        <f aca="false">(1-ORCAMENTO!$O$10)*0.3221</f>
        <v>0.3221</v>
      </c>
      <c r="J162" s="222" t="n">
        <f aca="false">(1-ORCAMENTO!$O$10)*0.04998</f>
        <v>0.04998</v>
      </c>
      <c r="K162" s="222" t="n">
        <f aca="false">(1-ORCAMENTO!$O$10)*0.18822</f>
        <v>0.18822</v>
      </c>
      <c r="L162" s="222" t="n">
        <f aca="false">(1-ORCAMENTO!$O$10)*0</f>
        <v>0</v>
      </c>
      <c r="M162" s="222" t="n">
        <f aca="false">(1-ORCAMENTO!$O$10)*0</f>
        <v>0</v>
      </c>
      <c r="N162" s="150"/>
      <c r="O162" s="150"/>
      <c r="P162" s="150"/>
      <c r="Q162" s="150"/>
      <c r="R162" s="150"/>
      <c r="S162" s="150"/>
      <c r="T162" s="150"/>
      <c r="U162" s="150"/>
      <c r="V162" s="150"/>
      <c r="W162" s="150"/>
      <c r="X162" s="150"/>
      <c r="Y162" s="150"/>
      <c r="Z162" s="150"/>
    </row>
    <row r="163" customFormat="false" ht="14.25" hidden="false" customHeight="true" outlineLevel="0" collapsed="false">
      <c r="A163" s="228" t="s">
        <v>341</v>
      </c>
      <c r="B163" s="217" t="s">
        <v>69</v>
      </c>
      <c r="C163" s="228" t="s">
        <v>353</v>
      </c>
      <c r="D163" s="218" t="s">
        <v>354</v>
      </c>
      <c r="E163" s="219" t="s">
        <v>347</v>
      </c>
      <c r="F163" s="220" t="n">
        <v>0.028</v>
      </c>
      <c r="G163" s="221" t="n">
        <f aca="false">ROUND((1-ORCAMENTO!$O$10)*72.35,2)</f>
        <v>72.35</v>
      </c>
      <c r="H163" s="221" t="n">
        <f aca="false">(1-ORCAMENTO!$O$10)*2.02</f>
        <v>2.02</v>
      </c>
      <c r="I163" s="222" t="n">
        <f aca="false">(1-ORCAMENTO!$O$10)*0.18732</f>
        <v>0.18732</v>
      </c>
      <c r="J163" s="222" t="n">
        <f aca="false">(1-ORCAMENTO!$O$10)*0.69972</f>
        <v>0.69972</v>
      </c>
      <c r="K163" s="222" t="n">
        <f aca="false">(1-ORCAMENTO!$O$10)*1.13876</f>
        <v>1.13876</v>
      </c>
      <c r="L163" s="222" t="n">
        <f aca="false">(1-ORCAMENTO!$O$10)*0</f>
        <v>0</v>
      </c>
      <c r="M163" s="222" t="n">
        <f aca="false">(1-ORCAMENTO!$O$10)*0</f>
        <v>0</v>
      </c>
      <c r="N163" s="150"/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</row>
    <row r="164" customFormat="false" ht="14.25" hidden="false" customHeight="true" outlineLevel="0" collapsed="false">
      <c r="A164" s="228" t="s">
        <v>341</v>
      </c>
      <c r="B164" s="217" t="s">
        <v>69</v>
      </c>
      <c r="C164" s="228" t="s">
        <v>355</v>
      </c>
      <c r="D164" s="218" t="s">
        <v>356</v>
      </c>
      <c r="E164" s="219" t="s">
        <v>344</v>
      </c>
      <c r="F164" s="220" t="n">
        <v>0.008</v>
      </c>
      <c r="G164" s="221" t="n">
        <f aca="false">ROUND((1-ORCAMENTO!$O$10)*260.16,2)</f>
        <v>260.16</v>
      </c>
      <c r="H164" s="221" t="n">
        <f aca="false">(1-ORCAMENTO!$O$10)*2.08</f>
        <v>2.08</v>
      </c>
      <c r="I164" s="222" t="n">
        <f aca="false">(1-ORCAMENTO!$O$10)*0.59072</f>
        <v>0.59072</v>
      </c>
      <c r="J164" s="222" t="n">
        <f aca="false">(1-ORCAMENTO!$O$10)*0.24176</f>
        <v>0.24176</v>
      </c>
      <c r="K164" s="222" t="n">
        <f aca="false">(1-ORCAMENTO!$O$10)*1.2488</f>
        <v>1.2488</v>
      </c>
      <c r="L164" s="222" t="n">
        <f aca="false">(1-ORCAMENTO!$O$10)*0</f>
        <v>0</v>
      </c>
      <c r="M164" s="222" t="n">
        <f aca="false">(1-ORCAMENTO!$O$10)*0</f>
        <v>0</v>
      </c>
      <c r="N164" s="150"/>
      <c r="O164" s="150"/>
      <c r="P164" s="150"/>
      <c r="Q164" s="150"/>
      <c r="R164" s="150"/>
      <c r="S164" s="150"/>
      <c r="T164" s="150"/>
      <c r="U164" s="150"/>
      <c r="V164" s="150"/>
      <c r="W164" s="150"/>
      <c r="X164" s="150"/>
      <c r="Y164" s="150"/>
      <c r="Z164" s="150"/>
    </row>
    <row r="165" customFormat="false" ht="14.25" hidden="false" customHeight="true" outlineLevel="0" collapsed="false">
      <c r="A165" s="228" t="s">
        <v>341</v>
      </c>
      <c r="B165" s="217" t="s">
        <v>69</v>
      </c>
      <c r="C165" s="228" t="s">
        <v>357</v>
      </c>
      <c r="D165" s="218" t="s">
        <v>358</v>
      </c>
      <c r="E165" s="219" t="s">
        <v>347</v>
      </c>
      <c r="F165" s="220" t="n">
        <v>0.022</v>
      </c>
      <c r="G165" s="221" t="n">
        <f aca="false">ROUND((1-ORCAMENTO!$O$10)*102.99,2)</f>
        <v>102.99</v>
      </c>
      <c r="H165" s="221" t="n">
        <f aca="false">(1-ORCAMENTO!$O$10)*2.26</f>
        <v>2.26</v>
      </c>
      <c r="I165" s="222" t="n">
        <f aca="false">(1-ORCAMENTO!$O$10)*0.14718</f>
        <v>0.14718</v>
      </c>
      <c r="J165" s="222" t="n">
        <f aca="false">(1-ORCAMENTO!$O$10)*0.66484</f>
        <v>0.66484</v>
      </c>
      <c r="K165" s="222" t="n">
        <f aca="false">(1-ORCAMENTO!$O$10)*1.45376</f>
        <v>1.45376</v>
      </c>
      <c r="L165" s="222" t="n">
        <f aca="false">(1-ORCAMENTO!$O$10)*0</f>
        <v>0</v>
      </c>
      <c r="M165" s="222" t="n">
        <f aca="false">(1-ORCAMENTO!$O$10)*0</f>
        <v>0</v>
      </c>
      <c r="N165" s="150"/>
      <c r="O165" s="150"/>
      <c r="P165" s="150"/>
      <c r="Q165" s="150"/>
      <c r="R165" s="150"/>
      <c r="S165" s="150"/>
      <c r="T165" s="150"/>
      <c r="U165" s="150"/>
      <c r="V165" s="150"/>
      <c r="W165" s="150"/>
      <c r="X165" s="150"/>
      <c r="Y165" s="150"/>
      <c r="Z165" s="150"/>
    </row>
    <row r="166" customFormat="false" ht="14.25" hidden="false" customHeight="true" outlineLevel="0" collapsed="false">
      <c r="A166" s="228" t="s">
        <v>341</v>
      </c>
      <c r="B166" s="217" t="s">
        <v>69</v>
      </c>
      <c r="C166" s="228" t="s">
        <v>348</v>
      </c>
      <c r="D166" s="218" t="s">
        <v>349</v>
      </c>
      <c r="E166" s="219" t="s">
        <v>71</v>
      </c>
      <c r="F166" s="220" t="n">
        <v>0.03</v>
      </c>
      <c r="G166" s="221" t="n">
        <f aca="false">ROUND((1-ORCAMENTO!$O$10)*25.12,2)</f>
        <v>25.12</v>
      </c>
      <c r="H166" s="221" t="n">
        <f aca="false">(1-ORCAMENTO!$O$10)*0.75</f>
        <v>0.75</v>
      </c>
      <c r="I166" s="222" t="n">
        <f aca="false">(1-ORCAMENTO!$O$10)*0.231</f>
        <v>0.231</v>
      </c>
      <c r="J166" s="222" t="n">
        <f aca="false">(1-ORCAMENTO!$O$10)*0.5226</f>
        <v>0.5226</v>
      </c>
      <c r="K166" s="222" t="n">
        <f aca="false">(1-ORCAMENTO!$O$10)*0</f>
        <v>0</v>
      </c>
      <c r="L166" s="222" t="n">
        <f aca="false">(1-ORCAMENTO!$O$10)*0</f>
        <v>0</v>
      </c>
      <c r="M166" s="222" t="n">
        <f aca="false">(1-ORCAMENTO!$O$10)*0</f>
        <v>0</v>
      </c>
      <c r="N166" s="150"/>
      <c r="O166" s="150"/>
      <c r="P166" s="150"/>
      <c r="Q166" s="150"/>
      <c r="R166" s="150"/>
      <c r="S166" s="150"/>
      <c r="T166" s="150"/>
      <c r="U166" s="150"/>
      <c r="V166" s="150"/>
      <c r="W166" s="150"/>
      <c r="X166" s="150"/>
      <c r="Y166" s="150"/>
      <c r="Z166" s="150"/>
    </row>
    <row r="167" customFormat="false" ht="14.25" hidden="false" customHeight="true" outlineLevel="0" collapsed="false">
      <c r="A167" s="228" t="s">
        <v>341</v>
      </c>
      <c r="B167" s="217" t="s">
        <v>69</v>
      </c>
      <c r="C167" s="228" t="s">
        <v>489</v>
      </c>
      <c r="D167" s="218" t="s">
        <v>490</v>
      </c>
      <c r="E167" s="219" t="s">
        <v>85</v>
      </c>
      <c r="F167" s="220" t="n">
        <v>1</v>
      </c>
      <c r="G167" s="221" t="n">
        <f aca="false">ROUND((1-ORCAMENTO!$O$10)*106.33,2)</f>
        <v>106.33</v>
      </c>
      <c r="H167" s="221" t="n">
        <f aca="false">(1-ORCAMENTO!$O$10)*106.33</f>
        <v>106.33</v>
      </c>
      <c r="I167" s="222" t="n">
        <f aca="false">(1-ORCAMENTO!$O$10)*101.74</f>
        <v>101.74</v>
      </c>
      <c r="J167" s="222" t="n">
        <f aca="false">(1-ORCAMENTO!$O$10)*1.63</f>
        <v>1.63</v>
      </c>
      <c r="K167" s="222" t="n">
        <f aca="false">(1-ORCAMENTO!$O$10)*2.68</f>
        <v>2.68</v>
      </c>
      <c r="L167" s="222" t="n">
        <f aca="false">(1-ORCAMENTO!$O$10)*0</f>
        <v>0</v>
      </c>
      <c r="M167" s="222" t="n">
        <f aca="false">(1-ORCAMENTO!$O$10)*0.28</f>
        <v>0.28</v>
      </c>
      <c r="N167" s="150"/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</row>
    <row r="168" customFormat="false" ht="14.25" hidden="false" customHeight="true" outlineLevel="0" collapsed="false">
      <c r="A168" s="228" t="s">
        <v>341</v>
      </c>
      <c r="B168" s="217" t="s">
        <v>69</v>
      </c>
      <c r="C168" s="228" t="s">
        <v>491</v>
      </c>
      <c r="D168" s="218" t="s">
        <v>492</v>
      </c>
      <c r="E168" s="219" t="s">
        <v>344</v>
      </c>
      <c r="F168" s="220" t="n">
        <v>0.004</v>
      </c>
      <c r="G168" s="221" t="n">
        <f aca="false">ROUND((1-ORCAMENTO!$O$10)*204.79,2)</f>
        <v>204.79</v>
      </c>
      <c r="H168" s="221" t="n">
        <f aca="false">(1-ORCAMENTO!$O$10)*0.81</f>
        <v>0.81</v>
      </c>
      <c r="I168" s="222" t="n">
        <f aca="false">(1-ORCAMENTO!$O$10)*0.2316</f>
        <v>0.2316</v>
      </c>
      <c r="J168" s="222" t="n">
        <f aca="false">(1-ORCAMENTO!$O$10)*0.08868</f>
        <v>0.08868</v>
      </c>
      <c r="K168" s="222" t="n">
        <f aca="false">(1-ORCAMENTO!$O$10)*0.49888</f>
        <v>0.49888</v>
      </c>
      <c r="L168" s="222" t="n">
        <f aca="false">(1-ORCAMENTO!$O$10)*0</f>
        <v>0</v>
      </c>
      <c r="M168" s="222" t="n">
        <f aca="false">(1-ORCAMENTO!$O$10)*0</f>
        <v>0</v>
      </c>
      <c r="N168" s="150"/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</row>
    <row r="169" customFormat="false" ht="14.25" hidden="false" customHeight="true" outlineLevel="0" collapsed="false">
      <c r="A169" s="228" t="s">
        <v>341</v>
      </c>
      <c r="B169" s="217" t="s">
        <v>69</v>
      </c>
      <c r="C169" s="228" t="s">
        <v>493</v>
      </c>
      <c r="D169" s="218" t="s">
        <v>494</v>
      </c>
      <c r="E169" s="219" t="s">
        <v>347</v>
      </c>
      <c r="F169" s="220" t="n">
        <v>0.026</v>
      </c>
      <c r="G169" s="221" t="n">
        <f aca="false">ROUND((1-ORCAMENTO!$O$10)*88.28,2)</f>
        <v>88.28</v>
      </c>
      <c r="H169" s="221" t="n">
        <f aca="false">(1-ORCAMENTO!$O$10)*2.29</f>
        <v>2.29</v>
      </c>
      <c r="I169" s="222" t="n">
        <f aca="false">(1-ORCAMENTO!$O$10)*0.17394</f>
        <v>0.17394</v>
      </c>
      <c r="J169" s="222" t="n">
        <f aca="false">(1-ORCAMENTO!$O$10)*0.57642</f>
        <v>0.57642</v>
      </c>
      <c r="K169" s="222" t="n">
        <f aca="false">(1-ORCAMENTO!$O$10)*1.54492</f>
        <v>1.54492</v>
      </c>
      <c r="L169" s="222" t="n">
        <f aca="false">(1-ORCAMENTO!$O$10)*0</f>
        <v>0</v>
      </c>
      <c r="M169" s="222" t="n">
        <f aca="false">(1-ORCAMENTO!$O$10)*0</f>
        <v>0</v>
      </c>
      <c r="N169" s="150"/>
      <c r="O169" s="150"/>
      <c r="P169" s="150"/>
      <c r="Q169" s="150"/>
      <c r="R169" s="150"/>
      <c r="S169" s="150"/>
      <c r="T169" s="150"/>
      <c r="U169" s="150"/>
      <c r="V169" s="150"/>
      <c r="W169" s="150"/>
      <c r="X169" s="150"/>
      <c r="Y169" s="150"/>
      <c r="Z169" s="150"/>
    </row>
    <row r="170" customFormat="false" ht="14.25" hidden="false" customHeight="true" outlineLevel="0" collapsed="false">
      <c r="A170" s="228"/>
      <c r="B170" s="217"/>
      <c r="C170" s="228"/>
      <c r="D170" s="218"/>
      <c r="E170" s="219"/>
      <c r="F170" s="220"/>
      <c r="G170" s="221"/>
      <c r="H170" s="221"/>
      <c r="I170" s="222"/>
      <c r="J170" s="222"/>
      <c r="K170" s="222"/>
      <c r="L170" s="222"/>
      <c r="M170" s="222"/>
      <c r="N170" s="150"/>
      <c r="O170" s="150"/>
      <c r="P170" s="150"/>
      <c r="Q170" s="150"/>
      <c r="R170" s="150"/>
      <c r="S170" s="150"/>
      <c r="T170" s="150"/>
      <c r="U170" s="150"/>
      <c r="V170" s="150"/>
      <c r="W170" s="150"/>
      <c r="X170" s="150"/>
      <c r="Y170" s="150"/>
      <c r="Z170" s="150"/>
    </row>
    <row r="171" customFormat="false" ht="14.25" hidden="false" customHeight="true" outlineLevel="0" collapsed="false">
      <c r="A171" s="223" t="s">
        <v>495</v>
      </c>
      <c r="B171" s="160" t="s">
        <v>69</v>
      </c>
      <c r="C171" s="223"/>
      <c r="D171" s="224" t="s">
        <v>112</v>
      </c>
      <c r="E171" s="159" t="s">
        <v>85</v>
      </c>
      <c r="F171" s="225"/>
      <c r="G171" s="226"/>
      <c r="H171" s="226" t="n">
        <f aca="false">SUM($I$171:$M$171)</f>
        <v>109.03</v>
      </c>
      <c r="I171" s="227" t="n">
        <f aca="false">ROUND((1-ORCAMENTO!$O$10)*90.46,2)</f>
        <v>90.46</v>
      </c>
      <c r="J171" s="227" t="n">
        <f aca="false">ROUND((1-ORCAMENTO!$O$10)*6.12,2)</f>
        <v>6.12</v>
      </c>
      <c r="K171" s="227" t="n">
        <f aca="false">ROUND((1-ORCAMENTO!$O$10)*12.45,2)</f>
        <v>12.45</v>
      </c>
      <c r="L171" s="227" t="n">
        <f aca="false">ROUND((1-ORCAMENTO!$O$10)*0,2)</f>
        <v>0</v>
      </c>
      <c r="M171" s="227" t="n">
        <f aca="false">ROUND((1-ORCAMENTO!$O$10)*0,2)</f>
        <v>0</v>
      </c>
      <c r="N171" s="150"/>
      <c r="O171" s="150"/>
      <c r="P171" s="150"/>
      <c r="Q171" s="150"/>
      <c r="R171" s="150"/>
      <c r="S171" s="150"/>
      <c r="T171" s="150"/>
      <c r="U171" s="150"/>
      <c r="V171" s="150"/>
      <c r="W171" s="150"/>
      <c r="X171" s="150"/>
      <c r="Y171" s="150"/>
      <c r="Z171" s="150"/>
    </row>
    <row r="172" customFormat="false" ht="14.25" hidden="false" customHeight="true" outlineLevel="0" collapsed="false">
      <c r="A172" s="228" t="s">
        <v>341</v>
      </c>
      <c r="B172" s="217" t="s">
        <v>383</v>
      </c>
      <c r="C172" s="228" t="s">
        <v>496</v>
      </c>
      <c r="D172" s="218" t="s">
        <v>497</v>
      </c>
      <c r="E172" s="219" t="s">
        <v>85</v>
      </c>
      <c r="F172" s="220" t="n">
        <v>1.1</v>
      </c>
      <c r="G172" s="221" t="n">
        <f aca="false">ROUND((1-ORCAMENTO!$O$10)*61.71,2)</f>
        <v>61.71</v>
      </c>
      <c r="H172" s="221" t="n">
        <f aca="false">(1-ORCAMENTO!$O$10)*67.88</f>
        <v>67.88</v>
      </c>
      <c r="I172" s="222" t="s">
        <v>386</v>
      </c>
      <c r="J172" s="222" t="s">
        <v>386</v>
      </c>
      <c r="K172" s="222" t="s">
        <v>386</v>
      </c>
      <c r="L172" s="222" t="s">
        <v>386</v>
      </c>
      <c r="M172" s="222" t="s">
        <v>386</v>
      </c>
      <c r="N172" s="150"/>
      <c r="O172" s="150"/>
      <c r="P172" s="150"/>
      <c r="Q172" s="150"/>
      <c r="R172" s="150"/>
      <c r="S172" s="150"/>
      <c r="T172" s="150"/>
      <c r="U172" s="150"/>
      <c r="V172" s="150"/>
      <c r="W172" s="150"/>
      <c r="X172" s="150"/>
      <c r="Y172" s="150"/>
      <c r="Z172" s="150"/>
    </row>
    <row r="173" customFormat="false" ht="14.25" hidden="false" customHeight="true" outlineLevel="0" collapsed="false">
      <c r="A173" s="228" t="s">
        <v>341</v>
      </c>
      <c r="B173" s="217" t="s">
        <v>383</v>
      </c>
      <c r="C173" s="228" t="s">
        <v>387</v>
      </c>
      <c r="D173" s="218" t="s">
        <v>388</v>
      </c>
      <c r="E173" s="219" t="s">
        <v>85</v>
      </c>
      <c r="F173" s="220" t="n">
        <v>0.3</v>
      </c>
      <c r="G173" s="221" t="n">
        <f aca="false">ROUND((1-ORCAMENTO!$O$10)*62.01,2)</f>
        <v>62.01</v>
      </c>
      <c r="H173" s="221" t="n">
        <f aca="false">(1-ORCAMENTO!$O$10)*18.6</f>
        <v>18.6</v>
      </c>
      <c r="I173" s="222" t="s">
        <v>386</v>
      </c>
      <c r="J173" s="222" t="s">
        <v>386</v>
      </c>
      <c r="K173" s="222" t="s">
        <v>386</v>
      </c>
      <c r="L173" s="222" t="s">
        <v>386</v>
      </c>
      <c r="M173" s="222" t="s">
        <v>386</v>
      </c>
      <c r="N173" s="150"/>
      <c r="O173" s="150"/>
      <c r="P173" s="150"/>
      <c r="Q173" s="150"/>
      <c r="R173" s="150"/>
      <c r="S173" s="150"/>
      <c r="T173" s="150"/>
      <c r="U173" s="150"/>
      <c r="V173" s="150"/>
      <c r="W173" s="150"/>
      <c r="X173" s="150"/>
      <c r="Y173" s="150"/>
      <c r="Z173" s="150"/>
    </row>
    <row r="174" customFormat="false" ht="14.25" hidden="false" customHeight="true" outlineLevel="0" collapsed="false">
      <c r="A174" s="228" t="s">
        <v>341</v>
      </c>
      <c r="B174" s="217" t="s">
        <v>69</v>
      </c>
      <c r="C174" s="228" t="s">
        <v>364</v>
      </c>
      <c r="D174" s="218" t="s">
        <v>365</v>
      </c>
      <c r="E174" s="219" t="s">
        <v>344</v>
      </c>
      <c r="F174" s="220" t="n">
        <v>0.019</v>
      </c>
      <c r="G174" s="221" t="n">
        <f aca="false">ROUND((1-ORCAMENTO!$O$10)*199.9,2)</f>
        <v>199.9</v>
      </c>
      <c r="H174" s="221" t="n">
        <f aca="false">(1-ORCAMENTO!$O$10)*3.79</f>
        <v>3.79</v>
      </c>
      <c r="I174" s="222" t="n">
        <f aca="false">(1-ORCAMENTO!$O$10)*1.10922</f>
        <v>1.10922</v>
      </c>
      <c r="J174" s="222" t="n">
        <f aca="false">(1-ORCAMENTO!$O$10)*0.50597</f>
        <v>0.50597</v>
      </c>
      <c r="K174" s="222" t="n">
        <f aca="false">(1-ORCAMENTO!$O$10)*2.18291</f>
        <v>2.18291</v>
      </c>
      <c r="L174" s="222" t="n">
        <f aca="false">(1-ORCAMENTO!$O$10)*0</f>
        <v>0</v>
      </c>
      <c r="M174" s="222" t="n">
        <f aca="false">(1-ORCAMENTO!$O$10)*0</f>
        <v>0</v>
      </c>
      <c r="N174" s="150"/>
      <c r="O174" s="150"/>
      <c r="P174" s="150"/>
      <c r="Q174" s="150"/>
      <c r="R174" s="150"/>
      <c r="S174" s="150"/>
      <c r="T174" s="150"/>
      <c r="U174" s="150"/>
      <c r="V174" s="150"/>
      <c r="W174" s="150"/>
      <c r="X174" s="150"/>
      <c r="Y174" s="150"/>
      <c r="Z174" s="150"/>
    </row>
    <row r="175" customFormat="false" ht="14.25" hidden="false" customHeight="true" outlineLevel="0" collapsed="false">
      <c r="A175" s="228" t="s">
        <v>341</v>
      </c>
      <c r="B175" s="217" t="s">
        <v>69</v>
      </c>
      <c r="C175" s="228" t="s">
        <v>366</v>
      </c>
      <c r="D175" s="218" t="s">
        <v>367</v>
      </c>
      <c r="E175" s="219" t="s">
        <v>347</v>
      </c>
      <c r="F175" s="220" t="n">
        <v>0.045</v>
      </c>
      <c r="G175" s="221" t="n">
        <f aca="false">ROUND((1-ORCAMENTO!$O$10)*88.01,2)</f>
        <v>88.01</v>
      </c>
      <c r="H175" s="221" t="n">
        <f aca="false">(1-ORCAMENTO!$O$10)*3.96</f>
        <v>3.96</v>
      </c>
      <c r="I175" s="222" t="n">
        <f aca="false">(1-ORCAMENTO!$O$10)*0.30105</f>
        <v>0.30105</v>
      </c>
      <c r="J175" s="222" t="n">
        <f aca="false">(1-ORCAMENTO!$O$10)*1.19835</f>
        <v>1.19835</v>
      </c>
      <c r="K175" s="222" t="n">
        <f aca="false">(1-ORCAMENTO!$O$10)*2.46105</f>
        <v>2.46105</v>
      </c>
      <c r="L175" s="222" t="n">
        <f aca="false">(1-ORCAMENTO!$O$10)*0</f>
        <v>0</v>
      </c>
      <c r="M175" s="222" t="n">
        <f aca="false">(1-ORCAMENTO!$O$10)*0</f>
        <v>0</v>
      </c>
      <c r="N175" s="150"/>
      <c r="O175" s="150"/>
      <c r="P175" s="150"/>
      <c r="Q175" s="150"/>
      <c r="R175" s="150"/>
      <c r="S175" s="150"/>
      <c r="T175" s="150"/>
      <c r="U175" s="150"/>
      <c r="V175" s="150"/>
      <c r="W175" s="150"/>
      <c r="X175" s="150"/>
      <c r="Y175" s="150"/>
      <c r="Z175" s="150"/>
    </row>
    <row r="176" customFormat="false" ht="14.25" hidden="false" customHeight="true" outlineLevel="0" collapsed="false">
      <c r="A176" s="228" t="s">
        <v>341</v>
      </c>
      <c r="B176" s="217" t="s">
        <v>69</v>
      </c>
      <c r="C176" s="228" t="s">
        <v>485</v>
      </c>
      <c r="D176" s="218" t="s">
        <v>486</v>
      </c>
      <c r="E176" s="219" t="s">
        <v>344</v>
      </c>
      <c r="F176" s="220" t="n">
        <v>0.009</v>
      </c>
      <c r="G176" s="221" t="n">
        <f aca="false">ROUND((1-ORCAMENTO!$O$10)*149.87,2)</f>
        <v>149.87</v>
      </c>
      <c r="H176" s="221" t="n">
        <f aca="false">(1-ORCAMENTO!$O$10)*1.34</f>
        <v>1.34</v>
      </c>
      <c r="I176" s="222" t="n">
        <f aca="false">(1-ORCAMENTO!$O$10)*0.47277</f>
        <v>0.47277</v>
      </c>
      <c r="J176" s="222" t="n">
        <f aca="false">(1-ORCAMENTO!$O$10)*0.19953</f>
        <v>0.19953</v>
      </c>
      <c r="K176" s="222" t="n">
        <f aca="false">(1-ORCAMENTO!$O$10)*0.67653</f>
        <v>0.67653</v>
      </c>
      <c r="L176" s="222" t="n">
        <f aca="false">(1-ORCAMENTO!$O$10)*0</f>
        <v>0</v>
      </c>
      <c r="M176" s="222" t="n">
        <f aca="false">(1-ORCAMENTO!$O$10)*0</f>
        <v>0</v>
      </c>
      <c r="N176" s="150"/>
      <c r="O176" s="150"/>
      <c r="P176" s="150"/>
      <c r="Q176" s="150"/>
      <c r="R176" s="150"/>
      <c r="S176" s="150"/>
      <c r="T176" s="150"/>
      <c r="U176" s="150"/>
      <c r="V176" s="150"/>
      <c r="W176" s="150"/>
      <c r="X176" s="150"/>
      <c r="Y176" s="150"/>
      <c r="Z176" s="150"/>
    </row>
    <row r="177" customFormat="false" ht="14.25" hidden="false" customHeight="true" outlineLevel="0" collapsed="false">
      <c r="A177" s="228" t="s">
        <v>341</v>
      </c>
      <c r="B177" s="217" t="s">
        <v>69</v>
      </c>
      <c r="C177" s="228" t="s">
        <v>487</v>
      </c>
      <c r="D177" s="218" t="s">
        <v>488</v>
      </c>
      <c r="E177" s="219" t="s">
        <v>347</v>
      </c>
      <c r="F177" s="220" t="n">
        <v>0.055</v>
      </c>
      <c r="G177" s="221" t="n">
        <f aca="false">ROUND((1-ORCAMENTO!$O$10)*64.67,2)</f>
        <v>64.67</v>
      </c>
      <c r="H177" s="221" t="n">
        <f aca="false">(1-ORCAMENTO!$O$10)*3.55</f>
        <v>3.55</v>
      </c>
      <c r="I177" s="222" t="n">
        <f aca="false">(1-ORCAMENTO!$O$10)*0.36795</f>
        <v>0.36795</v>
      </c>
      <c r="J177" s="222" t="n">
        <f aca="false">(1-ORCAMENTO!$O$10)*1.21935</f>
        <v>1.21935</v>
      </c>
      <c r="K177" s="222" t="n">
        <f aca="false">(1-ORCAMENTO!$O$10)*1.96955</f>
        <v>1.96955</v>
      </c>
      <c r="L177" s="222" t="n">
        <f aca="false">(1-ORCAMENTO!$O$10)*0</f>
        <v>0</v>
      </c>
      <c r="M177" s="222" t="n">
        <f aca="false">(1-ORCAMENTO!$O$10)*0</f>
        <v>0</v>
      </c>
      <c r="N177" s="150"/>
      <c r="O177" s="150"/>
      <c r="P177" s="150"/>
      <c r="Q177" s="150"/>
      <c r="R177" s="150"/>
      <c r="S177" s="150"/>
      <c r="T177" s="150"/>
      <c r="U177" s="150"/>
      <c r="V177" s="150"/>
      <c r="W177" s="150"/>
      <c r="X177" s="150"/>
      <c r="Y177" s="150"/>
      <c r="Z177" s="150"/>
    </row>
    <row r="178" customFormat="false" ht="14.25" hidden="false" customHeight="true" outlineLevel="0" collapsed="false">
      <c r="A178" s="228" t="s">
        <v>341</v>
      </c>
      <c r="B178" s="217" t="s">
        <v>69</v>
      </c>
      <c r="C178" s="228" t="s">
        <v>355</v>
      </c>
      <c r="D178" s="218" t="s">
        <v>356</v>
      </c>
      <c r="E178" s="219" t="s">
        <v>344</v>
      </c>
      <c r="F178" s="220" t="n">
        <v>0.011</v>
      </c>
      <c r="G178" s="221" t="n">
        <f aca="false">ROUND((1-ORCAMENTO!$O$10)*260.16,2)</f>
        <v>260.16</v>
      </c>
      <c r="H178" s="221" t="n">
        <f aca="false">(1-ORCAMENTO!$O$10)*2.86</f>
        <v>2.86</v>
      </c>
      <c r="I178" s="222" t="n">
        <f aca="false">(1-ORCAMENTO!$O$10)*0.81224</f>
        <v>0.81224</v>
      </c>
      <c r="J178" s="222" t="n">
        <f aca="false">(1-ORCAMENTO!$O$10)*0.33242</f>
        <v>0.33242</v>
      </c>
      <c r="K178" s="222" t="n">
        <f aca="false">(1-ORCAMENTO!$O$10)*1.7171</f>
        <v>1.7171</v>
      </c>
      <c r="L178" s="222" t="n">
        <f aca="false">(1-ORCAMENTO!$O$10)*0</f>
        <v>0</v>
      </c>
      <c r="M178" s="222" t="n">
        <f aca="false">(1-ORCAMENTO!$O$10)*0</f>
        <v>0</v>
      </c>
      <c r="N178" s="150"/>
      <c r="O178" s="150"/>
      <c r="P178" s="150"/>
      <c r="Q178" s="150"/>
      <c r="R178" s="150"/>
      <c r="S178" s="150"/>
      <c r="T178" s="150"/>
      <c r="U178" s="150"/>
      <c r="V178" s="150"/>
      <c r="W178" s="150"/>
      <c r="X178" s="150"/>
      <c r="Y178" s="150"/>
      <c r="Z178" s="150"/>
    </row>
    <row r="179" customFormat="false" ht="14.25" hidden="false" customHeight="true" outlineLevel="0" collapsed="false">
      <c r="A179" s="228" t="s">
        <v>341</v>
      </c>
      <c r="B179" s="217" t="s">
        <v>69</v>
      </c>
      <c r="C179" s="228" t="s">
        <v>357</v>
      </c>
      <c r="D179" s="218" t="s">
        <v>358</v>
      </c>
      <c r="E179" s="219" t="s">
        <v>347</v>
      </c>
      <c r="F179" s="220" t="n">
        <v>0.053</v>
      </c>
      <c r="G179" s="221" t="n">
        <f aca="false">ROUND((1-ORCAMENTO!$O$10)*102.99,2)</f>
        <v>102.99</v>
      </c>
      <c r="H179" s="221" t="n">
        <f aca="false">(1-ORCAMENTO!$O$10)*5.45</f>
        <v>5.45</v>
      </c>
      <c r="I179" s="222" t="n">
        <f aca="false">(1-ORCAMENTO!$O$10)*0.35457</f>
        <v>0.35457</v>
      </c>
      <c r="J179" s="222" t="n">
        <f aca="false">(1-ORCAMENTO!$O$10)*1.60166</f>
        <v>1.60166</v>
      </c>
      <c r="K179" s="222" t="n">
        <f aca="false">(1-ORCAMENTO!$O$10)*3.50224</f>
        <v>3.50224</v>
      </c>
      <c r="L179" s="222" t="n">
        <f aca="false">(1-ORCAMENTO!$O$10)*0</f>
        <v>0</v>
      </c>
      <c r="M179" s="222" t="n">
        <f aca="false">(1-ORCAMENTO!$O$10)*0</f>
        <v>0</v>
      </c>
      <c r="N179" s="150"/>
      <c r="O179" s="150"/>
      <c r="P179" s="150"/>
      <c r="Q179" s="150"/>
      <c r="R179" s="150"/>
      <c r="S179" s="150"/>
      <c r="T179" s="150"/>
      <c r="U179" s="150"/>
      <c r="V179" s="150"/>
      <c r="W179" s="150"/>
      <c r="X179" s="150"/>
      <c r="Y179" s="150"/>
      <c r="Z179" s="150"/>
    </row>
    <row r="180" customFormat="false" ht="14.25" hidden="false" customHeight="true" outlineLevel="0" collapsed="false">
      <c r="A180" s="228" t="s">
        <v>341</v>
      </c>
      <c r="B180" s="217" t="s">
        <v>69</v>
      </c>
      <c r="C180" s="228" t="s">
        <v>348</v>
      </c>
      <c r="D180" s="218" t="s">
        <v>349</v>
      </c>
      <c r="E180" s="219" t="s">
        <v>71</v>
      </c>
      <c r="F180" s="220" t="n">
        <v>0.064</v>
      </c>
      <c r="G180" s="221" t="n">
        <f aca="false">ROUND((1-ORCAMENTO!$O$10)*25.12,2)</f>
        <v>25.12</v>
      </c>
      <c r="H180" s="221" t="n">
        <f aca="false">(1-ORCAMENTO!$O$10)*1.6</f>
        <v>1.6</v>
      </c>
      <c r="I180" s="222" t="n">
        <f aca="false">(1-ORCAMENTO!$O$10)*0.4928</f>
        <v>0.4928</v>
      </c>
      <c r="J180" s="222" t="n">
        <f aca="false">(1-ORCAMENTO!$O$10)*1.11488</f>
        <v>1.11488</v>
      </c>
      <c r="K180" s="222" t="n">
        <f aca="false">(1-ORCAMENTO!$O$10)*0</f>
        <v>0</v>
      </c>
      <c r="L180" s="222" t="n">
        <f aca="false">(1-ORCAMENTO!$O$10)*0</f>
        <v>0</v>
      </c>
      <c r="M180" s="222" t="n">
        <f aca="false">(1-ORCAMENTO!$O$10)*0</f>
        <v>0</v>
      </c>
      <c r="N180" s="150"/>
      <c r="O180" s="150"/>
      <c r="P180" s="150"/>
      <c r="Q180" s="150"/>
      <c r="R180" s="150"/>
      <c r="S180" s="150"/>
      <c r="T180" s="150"/>
      <c r="U180" s="150"/>
      <c r="V180" s="150"/>
      <c r="W180" s="150"/>
      <c r="X180" s="150"/>
      <c r="Y180" s="150"/>
      <c r="Z180" s="150"/>
    </row>
    <row r="181" customFormat="false" ht="14.25" hidden="false" customHeight="true" outlineLevel="0" collapsed="false">
      <c r="A181" s="228"/>
      <c r="B181" s="217"/>
      <c r="C181" s="228"/>
      <c r="D181" s="218"/>
      <c r="E181" s="219"/>
      <c r="F181" s="220"/>
      <c r="G181" s="221"/>
      <c r="H181" s="221"/>
      <c r="I181" s="222"/>
      <c r="J181" s="222"/>
      <c r="K181" s="222"/>
      <c r="L181" s="222"/>
      <c r="M181" s="222"/>
      <c r="N181" s="150"/>
      <c r="O181" s="150"/>
      <c r="P181" s="150"/>
      <c r="Q181" s="150"/>
      <c r="R181" s="150"/>
      <c r="S181" s="150"/>
      <c r="T181" s="150"/>
      <c r="U181" s="150"/>
      <c r="V181" s="150"/>
      <c r="W181" s="150"/>
      <c r="X181" s="150"/>
      <c r="Y181" s="150"/>
      <c r="Z181" s="150"/>
    </row>
    <row r="182" customFormat="false" ht="14.25" hidden="false" customHeight="true" outlineLevel="0" collapsed="false">
      <c r="A182" s="223" t="s">
        <v>498</v>
      </c>
      <c r="B182" s="160" t="s">
        <v>69</v>
      </c>
      <c r="C182" s="223"/>
      <c r="D182" s="224" t="s">
        <v>121</v>
      </c>
      <c r="E182" s="159" t="s">
        <v>62</v>
      </c>
      <c r="F182" s="225"/>
      <c r="G182" s="226"/>
      <c r="H182" s="226" t="n">
        <f aca="false">SUM($I$182:$M$182)</f>
        <v>151.07</v>
      </c>
      <c r="I182" s="227" t="n">
        <f aca="false">ROUND((1-ORCAMENTO!$O$10)*66.35,2)</f>
        <v>66.35</v>
      </c>
      <c r="J182" s="227" t="n">
        <f aca="false">ROUND((1-ORCAMENTO!$O$10)*84.72,2)</f>
        <v>84.72</v>
      </c>
      <c r="K182" s="227" t="n">
        <f aca="false">ROUND((1-ORCAMENTO!$O$10)*0,2)</f>
        <v>0</v>
      </c>
      <c r="L182" s="227" t="n">
        <f aca="false">ROUND((1-ORCAMENTO!$O$10)*0,2)</f>
        <v>0</v>
      </c>
      <c r="M182" s="227" t="n">
        <f aca="false">ROUND((1-ORCAMENTO!$O$10)*0,2)</f>
        <v>0</v>
      </c>
      <c r="N182" s="150"/>
      <c r="O182" s="150"/>
      <c r="P182" s="150"/>
      <c r="Q182" s="150"/>
      <c r="R182" s="150"/>
      <c r="S182" s="150"/>
      <c r="T182" s="150"/>
      <c r="U182" s="150"/>
      <c r="V182" s="150"/>
      <c r="W182" s="150"/>
      <c r="X182" s="150"/>
      <c r="Y182" s="150"/>
      <c r="Z182" s="150"/>
    </row>
    <row r="183" customFormat="false" ht="14.25" hidden="false" customHeight="true" outlineLevel="0" collapsed="false">
      <c r="A183" s="228" t="s">
        <v>341</v>
      </c>
      <c r="B183" s="217" t="s">
        <v>383</v>
      </c>
      <c r="C183" s="228" t="s">
        <v>499</v>
      </c>
      <c r="D183" s="218" t="s">
        <v>500</v>
      </c>
      <c r="E183" s="219" t="s">
        <v>308</v>
      </c>
      <c r="F183" s="220" t="n">
        <v>0.017</v>
      </c>
      <c r="G183" s="221" t="n">
        <f aca="false">ROUND((1-ORCAMENTO!$O$10)*6.71,2)</f>
        <v>6.71</v>
      </c>
      <c r="H183" s="221" t="n">
        <f aca="false">(1-ORCAMENTO!$O$10)*0.11</f>
        <v>0.11</v>
      </c>
      <c r="I183" s="222" t="s">
        <v>386</v>
      </c>
      <c r="J183" s="222" t="s">
        <v>386</v>
      </c>
      <c r="K183" s="222" t="s">
        <v>386</v>
      </c>
      <c r="L183" s="222" t="s">
        <v>386</v>
      </c>
      <c r="M183" s="222" t="s">
        <v>386</v>
      </c>
      <c r="N183" s="150"/>
      <c r="O183" s="150"/>
      <c r="P183" s="150"/>
      <c r="Q183" s="150"/>
      <c r="R183" s="150"/>
      <c r="S183" s="150"/>
      <c r="T183" s="150"/>
      <c r="U183" s="150"/>
      <c r="V183" s="150"/>
      <c r="W183" s="150"/>
      <c r="X183" s="150"/>
      <c r="Y183" s="150"/>
      <c r="Z183" s="150"/>
    </row>
    <row r="184" customFormat="false" ht="14.25" hidden="false" customHeight="true" outlineLevel="0" collapsed="false">
      <c r="A184" s="228" t="s">
        <v>341</v>
      </c>
      <c r="B184" s="217" t="s">
        <v>383</v>
      </c>
      <c r="C184" s="228" t="s">
        <v>501</v>
      </c>
      <c r="D184" s="218" t="s">
        <v>502</v>
      </c>
      <c r="E184" s="219" t="s">
        <v>106</v>
      </c>
      <c r="F184" s="220" t="n">
        <v>0.37</v>
      </c>
      <c r="G184" s="221" t="n">
        <f aca="false">ROUND((1-ORCAMENTO!$O$10)*6.77,2)</f>
        <v>6.77</v>
      </c>
      <c r="H184" s="221" t="n">
        <f aca="false">(1-ORCAMENTO!$O$10)*2.5</f>
        <v>2.5</v>
      </c>
      <c r="I184" s="222" t="s">
        <v>386</v>
      </c>
      <c r="J184" s="222" t="s">
        <v>386</v>
      </c>
      <c r="K184" s="222" t="s">
        <v>386</v>
      </c>
      <c r="L184" s="222" t="s">
        <v>386</v>
      </c>
      <c r="M184" s="222" t="s">
        <v>386</v>
      </c>
      <c r="N184" s="150"/>
      <c r="O184" s="150"/>
      <c r="P184" s="150"/>
      <c r="Q184" s="150"/>
      <c r="R184" s="150"/>
      <c r="S184" s="150"/>
      <c r="T184" s="150"/>
      <c r="U184" s="150"/>
      <c r="V184" s="150"/>
      <c r="W184" s="150"/>
      <c r="X184" s="150"/>
      <c r="Y184" s="150"/>
      <c r="Z184" s="150"/>
    </row>
    <row r="185" customFormat="false" ht="14.25" hidden="false" customHeight="true" outlineLevel="0" collapsed="false">
      <c r="A185" s="228" t="s">
        <v>341</v>
      </c>
      <c r="B185" s="217" t="s">
        <v>383</v>
      </c>
      <c r="C185" s="228" t="s">
        <v>503</v>
      </c>
      <c r="D185" s="218" t="s">
        <v>504</v>
      </c>
      <c r="E185" s="219" t="s">
        <v>106</v>
      </c>
      <c r="F185" s="220" t="n">
        <v>0.44</v>
      </c>
      <c r="G185" s="221" t="n">
        <f aca="false">ROUND((1-ORCAMENTO!$O$10)*2.37,2)</f>
        <v>2.37</v>
      </c>
      <c r="H185" s="221" t="n">
        <f aca="false">(1-ORCAMENTO!$O$10)*1.04</f>
        <v>1.04</v>
      </c>
      <c r="I185" s="222" t="s">
        <v>386</v>
      </c>
      <c r="J185" s="222" t="s">
        <v>386</v>
      </c>
      <c r="K185" s="222" t="s">
        <v>386</v>
      </c>
      <c r="L185" s="222" t="s">
        <v>386</v>
      </c>
      <c r="M185" s="222" t="s">
        <v>386</v>
      </c>
      <c r="N185" s="150"/>
      <c r="O185" s="150"/>
      <c r="P185" s="150"/>
      <c r="Q185" s="150"/>
      <c r="R185" s="150"/>
      <c r="S185" s="150"/>
      <c r="T185" s="150"/>
      <c r="U185" s="150"/>
      <c r="V185" s="150"/>
      <c r="W185" s="150"/>
      <c r="X185" s="150"/>
      <c r="Y185" s="150"/>
      <c r="Z185" s="150"/>
    </row>
    <row r="186" customFormat="false" ht="14.25" hidden="false" customHeight="true" outlineLevel="0" collapsed="false">
      <c r="A186" s="228" t="s">
        <v>341</v>
      </c>
      <c r="B186" s="217" t="s">
        <v>383</v>
      </c>
      <c r="C186" s="228" t="s">
        <v>505</v>
      </c>
      <c r="D186" s="218" t="s">
        <v>506</v>
      </c>
      <c r="E186" s="219" t="s">
        <v>127</v>
      </c>
      <c r="F186" s="220" t="n">
        <v>0.095</v>
      </c>
      <c r="G186" s="221" t="n">
        <f aca="false">ROUND((1-ORCAMENTO!$O$10)*16.17,2)</f>
        <v>16.17</v>
      </c>
      <c r="H186" s="221" t="n">
        <f aca="false">(1-ORCAMENTO!$O$10)*1.53</f>
        <v>1.53</v>
      </c>
      <c r="I186" s="222" t="s">
        <v>386</v>
      </c>
      <c r="J186" s="222" t="s">
        <v>386</v>
      </c>
      <c r="K186" s="222" t="s">
        <v>386</v>
      </c>
      <c r="L186" s="222" t="s">
        <v>386</v>
      </c>
      <c r="M186" s="222" t="s">
        <v>386</v>
      </c>
      <c r="N186" s="150"/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  <c r="Z186" s="150"/>
    </row>
    <row r="187" customFormat="false" ht="14.25" hidden="false" customHeight="true" outlineLevel="0" collapsed="false">
      <c r="A187" s="228" t="s">
        <v>341</v>
      </c>
      <c r="B187" s="217" t="s">
        <v>383</v>
      </c>
      <c r="C187" s="228" t="s">
        <v>507</v>
      </c>
      <c r="D187" s="218" t="s">
        <v>508</v>
      </c>
      <c r="E187" s="219" t="s">
        <v>106</v>
      </c>
      <c r="F187" s="220" t="n">
        <v>1.38</v>
      </c>
      <c r="G187" s="221" t="n">
        <f aca="false">ROUND((1-ORCAMENTO!$O$10)*23.17,2)</f>
        <v>23.17</v>
      </c>
      <c r="H187" s="221" t="n">
        <f aca="false">(1-ORCAMENTO!$O$10)*31.97</f>
        <v>31.97</v>
      </c>
      <c r="I187" s="222" t="s">
        <v>386</v>
      </c>
      <c r="J187" s="222" t="s">
        <v>386</v>
      </c>
      <c r="K187" s="222" t="s">
        <v>386</v>
      </c>
      <c r="L187" s="222" t="s">
        <v>386</v>
      </c>
      <c r="M187" s="222" t="s">
        <v>386</v>
      </c>
      <c r="N187" s="150"/>
      <c r="O187" s="150"/>
      <c r="P187" s="150"/>
      <c r="Q187" s="150"/>
      <c r="R187" s="150"/>
      <c r="S187" s="150"/>
      <c r="T187" s="150"/>
      <c r="U187" s="150"/>
      <c r="V187" s="150"/>
      <c r="W187" s="150"/>
      <c r="X187" s="150"/>
      <c r="Y187" s="150"/>
      <c r="Z187" s="150"/>
    </row>
    <row r="188" customFormat="false" ht="14.25" hidden="false" customHeight="true" outlineLevel="0" collapsed="false">
      <c r="A188" s="228" t="s">
        <v>341</v>
      </c>
      <c r="B188" s="217" t="s">
        <v>69</v>
      </c>
      <c r="C188" s="228" t="s">
        <v>509</v>
      </c>
      <c r="D188" s="218" t="s">
        <v>510</v>
      </c>
      <c r="E188" s="219" t="s">
        <v>71</v>
      </c>
      <c r="F188" s="220" t="n">
        <v>1.444</v>
      </c>
      <c r="G188" s="221" t="n">
        <f aca="false">ROUND((1-ORCAMENTO!$O$10)*26.45,2)</f>
        <v>26.45</v>
      </c>
      <c r="H188" s="221" t="n">
        <f aca="false">(1-ORCAMENTO!$O$10)*38.19</f>
        <v>38.19</v>
      </c>
      <c r="I188" s="222" t="n">
        <f aca="false">(1-ORCAMENTO!$O$10)*11.10436</f>
        <v>11.10436</v>
      </c>
      <c r="J188" s="222" t="n">
        <f aca="false">(1-ORCAMENTO!$O$10)*27.08944</f>
        <v>27.08944</v>
      </c>
      <c r="K188" s="222" t="n">
        <f aca="false">(1-ORCAMENTO!$O$10)*0</f>
        <v>0</v>
      </c>
      <c r="L188" s="222" t="n">
        <f aca="false">(1-ORCAMENTO!$O$10)*0</f>
        <v>0</v>
      </c>
      <c r="M188" s="222" t="n">
        <f aca="false">(1-ORCAMENTO!$O$10)*0</f>
        <v>0</v>
      </c>
      <c r="N188" s="150"/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</row>
    <row r="189" customFormat="false" ht="14.25" hidden="false" customHeight="true" outlineLevel="0" collapsed="false">
      <c r="A189" s="228" t="s">
        <v>341</v>
      </c>
      <c r="B189" s="217" t="s">
        <v>69</v>
      </c>
      <c r="C189" s="228" t="s">
        <v>404</v>
      </c>
      <c r="D189" s="218" t="s">
        <v>405</v>
      </c>
      <c r="E189" s="219" t="s">
        <v>71</v>
      </c>
      <c r="F189" s="220" t="n">
        <v>2.357</v>
      </c>
      <c r="G189" s="221" t="n">
        <f aca="false">ROUND((1-ORCAMENTO!$O$10)*32.13,2)</f>
        <v>32.13</v>
      </c>
      <c r="H189" s="221" t="n">
        <f aca="false">(1-ORCAMENTO!$O$10)*75.73</f>
        <v>75.73</v>
      </c>
      <c r="I189" s="222" t="n">
        <f aca="false">(1-ORCAMENTO!$O$10)*18.12533</f>
        <v>18.12533</v>
      </c>
      <c r="J189" s="222" t="n">
        <f aca="false">(1-ORCAMENTO!$O$10)*57.60508</f>
        <v>57.60508</v>
      </c>
      <c r="K189" s="222" t="n">
        <f aca="false">(1-ORCAMENTO!$O$10)*0</f>
        <v>0</v>
      </c>
      <c r="L189" s="222" t="n">
        <f aca="false">(1-ORCAMENTO!$O$10)*0</f>
        <v>0</v>
      </c>
      <c r="M189" s="222" t="n">
        <f aca="false">(1-ORCAMENTO!$O$10)*0</f>
        <v>0</v>
      </c>
      <c r="N189" s="150"/>
      <c r="O189" s="150"/>
      <c r="P189" s="150"/>
      <c r="Q189" s="150"/>
      <c r="R189" s="150"/>
      <c r="S189" s="150"/>
      <c r="T189" s="150"/>
      <c r="U189" s="150"/>
      <c r="V189" s="150"/>
      <c r="W189" s="150"/>
      <c r="X189" s="150"/>
      <c r="Y189" s="150"/>
      <c r="Z189" s="150"/>
    </row>
    <row r="190" customFormat="false" ht="14.25" hidden="false" customHeight="true" outlineLevel="0" collapsed="false">
      <c r="A190" s="228"/>
      <c r="B190" s="217"/>
      <c r="C190" s="228"/>
      <c r="D190" s="218"/>
      <c r="E190" s="219"/>
      <c r="F190" s="220"/>
      <c r="G190" s="221"/>
      <c r="H190" s="221"/>
      <c r="I190" s="222"/>
      <c r="J190" s="222"/>
      <c r="K190" s="222"/>
      <c r="L190" s="222"/>
      <c r="M190" s="222"/>
      <c r="N190" s="150"/>
      <c r="O190" s="150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</row>
    <row r="191" customFormat="false" ht="14.25" hidden="false" customHeight="true" outlineLevel="0" collapsed="false">
      <c r="A191" s="223" t="s">
        <v>511</v>
      </c>
      <c r="B191" s="160" t="s">
        <v>69</v>
      </c>
      <c r="C191" s="223"/>
      <c r="D191" s="224" t="s">
        <v>126</v>
      </c>
      <c r="E191" s="159" t="s">
        <v>127</v>
      </c>
      <c r="F191" s="225"/>
      <c r="G191" s="226"/>
      <c r="H191" s="226" t="n">
        <f aca="false">SUM($I$191:$M$191)</f>
        <v>14.48</v>
      </c>
      <c r="I191" s="227" t="n">
        <f aca="false">ROUND((1-ORCAMENTO!$O$10)*13.56,2)</f>
        <v>13.56</v>
      </c>
      <c r="J191" s="227" t="n">
        <f aca="false">ROUND((1-ORCAMENTO!$O$10)*0.92,2)</f>
        <v>0.92</v>
      </c>
      <c r="K191" s="227" t="n">
        <f aca="false">ROUND((1-ORCAMENTO!$O$10)*0,2)</f>
        <v>0</v>
      </c>
      <c r="L191" s="227" t="n">
        <f aca="false">ROUND((1-ORCAMENTO!$O$10)*0,2)</f>
        <v>0</v>
      </c>
      <c r="M191" s="227" t="n">
        <f aca="false">ROUND((1-ORCAMENTO!$O$10)*0,2)</f>
        <v>0</v>
      </c>
      <c r="N191" s="150"/>
      <c r="O191" s="150"/>
      <c r="P191" s="150"/>
      <c r="Q191" s="150"/>
      <c r="R191" s="150"/>
      <c r="S191" s="150"/>
      <c r="T191" s="150"/>
      <c r="U191" s="150"/>
      <c r="V191" s="150"/>
      <c r="W191" s="150"/>
      <c r="X191" s="150"/>
      <c r="Y191" s="150"/>
      <c r="Z191" s="150"/>
    </row>
    <row r="192" customFormat="false" ht="14.25" hidden="false" customHeight="true" outlineLevel="0" collapsed="false">
      <c r="A192" s="228" t="s">
        <v>341</v>
      </c>
      <c r="B192" s="217" t="s">
        <v>383</v>
      </c>
      <c r="C192" s="228" t="s">
        <v>512</v>
      </c>
      <c r="D192" s="218" t="s">
        <v>513</v>
      </c>
      <c r="E192" s="219" t="s">
        <v>62</v>
      </c>
      <c r="F192" s="220" t="n">
        <v>0.555</v>
      </c>
      <c r="G192" s="221" t="n">
        <f aca="false">ROUND((1-ORCAMENTO!$O$10)*18.39,2)</f>
        <v>18.39</v>
      </c>
      <c r="H192" s="221" t="n">
        <f aca="false">(1-ORCAMENTO!$O$10)*10.2</f>
        <v>10.2</v>
      </c>
      <c r="I192" s="222" t="s">
        <v>386</v>
      </c>
      <c r="J192" s="222" t="s">
        <v>386</v>
      </c>
      <c r="K192" s="222" t="s">
        <v>386</v>
      </c>
      <c r="L192" s="222" t="s">
        <v>386</v>
      </c>
      <c r="M192" s="222" t="s">
        <v>386</v>
      </c>
      <c r="N192" s="150"/>
      <c r="O192" s="150"/>
      <c r="P192" s="150"/>
      <c r="Q192" s="150"/>
      <c r="R192" s="150"/>
      <c r="S192" s="150"/>
      <c r="T192" s="150"/>
      <c r="U192" s="150"/>
      <c r="V192" s="150"/>
      <c r="W192" s="150"/>
      <c r="X192" s="150"/>
      <c r="Y192" s="150"/>
      <c r="Z192" s="150"/>
    </row>
    <row r="193" customFormat="false" ht="14.25" hidden="false" customHeight="true" outlineLevel="0" collapsed="false">
      <c r="A193" s="228" t="s">
        <v>341</v>
      </c>
      <c r="B193" s="217" t="s">
        <v>383</v>
      </c>
      <c r="C193" s="228" t="s">
        <v>514</v>
      </c>
      <c r="D193" s="218" t="s">
        <v>515</v>
      </c>
      <c r="E193" s="219" t="s">
        <v>106</v>
      </c>
      <c r="F193" s="220" t="n">
        <v>0.455</v>
      </c>
      <c r="G193" s="221" t="n">
        <f aca="false">ROUND((1-ORCAMENTO!$O$10)*6.02,2)</f>
        <v>6.02</v>
      </c>
      <c r="H193" s="221" t="n">
        <f aca="false">(1-ORCAMENTO!$O$10)*2.73</f>
        <v>2.73</v>
      </c>
      <c r="I193" s="222" t="s">
        <v>386</v>
      </c>
      <c r="J193" s="222" t="s">
        <v>386</v>
      </c>
      <c r="K193" s="222" t="s">
        <v>386</v>
      </c>
      <c r="L193" s="222" t="s">
        <v>386</v>
      </c>
      <c r="M193" s="222" t="s">
        <v>386</v>
      </c>
      <c r="N193" s="150"/>
      <c r="O193" s="150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</row>
    <row r="194" customFormat="false" ht="14.25" hidden="false" customHeight="true" outlineLevel="0" collapsed="false">
      <c r="A194" s="228" t="s">
        <v>341</v>
      </c>
      <c r="B194" s="217" t="s">
        <v>383</v>
      </c>
      <c r="C194" s="228" t="s">
        <v>516</v>
      </c>
      <c r="D194" s="218" t="s">
        <v>517</v>
      </c>
      <c r="E194" s="219" t="s">
        <v>127</v>
      </c>
      <c r="F194" s="220" t="n">
        <v>0.011</v>
      </c>
      <c r="G194" s="221" t="n">
        <f aca="false">ROUND((1-ORCAMENTO!$O$10)*26.23,2)</f>
        <v>26.23</v>
      </c>
      <c r="H194" s="221" t="n">
        <f aca="false">(1-ORCAMENTO!$O$10)*0.28</f>
        <v>0.28</v>
      </c>
      <c r="I194" s="222" t="s">
        <v>386</v>
      </c>
      <c r="J194" s="222" t="s">
        <v>386</v>
      </c>
      <c r="K194" s="222" t="s">
        <v>386</v>
      </c>
      <c r="L194" s="222" t="s">
        <v>386</v>
      </c>
      <c r="M194" s="222" t="s">
        <v>386</v>
      </c>
      <c r="N194" s="150"/>
      <c r="O194" s="150"/>
      <c r="P194" s="150"/>
      <c r="Q194" s="150"/>
      <c r="R194" s="150"/>
      <c r="S194" s="150"/>
      <c r="T194" s="150"/>
      <c r="U194" s="150"/>
      <c r="V194" s="150"/>
      <c r="W194" s="150"/>
      <c r="X194" s="150"/>
      <c r="Y194" s="150"/>
      <c r="Z194" s="150"/>
    </row>
    <row r="195" customFormat="false" ht="14.25" hidden="false" customHeight="true" outlineLevel="0" collapsed="false">
      <c r="A195" s="228" t="s">
        <v>341</v>
      </c>
      <c r="B195" s="217" t="s">
        <v>69</v>
      </c>
      <c r="C195" s="228" t="s">
        <v>518</v>
      </c>
      <c r="D195" s="218" t="s">
        <v>519</v>
      </c>
      <c r="E195" s="219" t="s">
        <v>71</v>
      </c>
      <c r="F195" s="220" t="n">
        <v>0.011</v>
      </c>
      <c r="G195" s="221" t="n">
        <f aca="false">ROUND((1-ORCAMENTO!$O$10)*25.1,2)</f>
        <v>25.1</v>
      </c>
      <c r="H195" s="221" t="n">
        <f aca="false">(1-ORCAMENTO!$O$10)*0.27</f>
        <v>0.27</v>
      </c>
      <c r="I195" s="222" t="n">
        <f aca="false">(1-ORCAMENTO!$O$10)*0.08657</f>
        <v>0.08657</v>
      </c>
      <c r="J195" s="222" t="n">
        <f aca="false">(1-ORCAMENTO!$O$10)*0.18953</f>
        <v>0.18953</v>
      </c>
      <c r="K195" s="222" t="n">
        <f aca="false">(1-ORCAMENTO!$O$10)*0</f>
        <v>0</v>
      </c>
      <c r="L195" s="222" t="n">
        <f aca="false">(1-ORCAMENTO!$O$10)*0</f>
        <v>0</v>
      </c>
      <c r="M195" s="222" t="n">
        <f aca="false">(1-ORCAMENTO!$O$10)*0</f>
        <v>0</v>
      </c>
      <c r="N195" s="150"/>
      <c r="O195" s="150"/>
      <c r="P195" s="150"/>
      <c r="Q195" s="150"/>
      <c r="R195" s="150"/>
      <c r="S195" s="150"/>
      <c r="T195" s="150"/>
      <c r="U195" s="150"/>
      <c r="V195" s="150"/>
      <c r="W195" s="150"/>
      <c r="X195" s="150"/>
      <c r="Y195" s="150"/>
      <c r="Z195" s="150"/>
    </row>
    <row r="196" customFormat="false" ht="14.25" hidden="false" customHeight="true" outlineLevel="0" collapsed="false">
      <c r="A196" s="228" t="s">
        <v>341</v>
      </c>
      <c r="B196" s="217" t="s">
        <v>69</v>
      </c>
      <c r="C196" s="228" t="s">
        <v>520</v>
      </c>
      <c r="D196" s="218" t="s">
        <v>521</v>
      </c>
      <c r="E196" s="219" t="s">
        <v>71</v>
      </c>
      <c r="F196" s="220" t="n">
        <v>0.031</v>
      </c>
      <c r="G196" s="221" t="n">
        <f aca="false">ROUND((1-ORCAMENTO!$O$10)*32.31,2)</f>
        <v>32.31</v>
      </c>
      <c r="H196" s="221" t="n">
        <f aca="false">(1-ORCAMENTO!$O$10)*1</f>
        <v>1</v>
      </c>
      <c r="I196" s="222" t="n">
        <f aca="false">(1-ORCAMENTO!$O$10)*0.24397</f>
        <v>0.24397</v>
      </c>
      <c r="J196" s="222" t="n">
        <f aca="false">(1-ORCAMENTO!$O$10)*0.75764</f>
        <v>0.75764</v>
      </c>
      <c r="K196" s="222" t="n">
        <f aca="false">(1-ORCAMENTO!$O$10)*0</f>
        <v>0</v>
      </c>
      <c r="L196" s="222" t="n">
        <f aca="false">(1-ORCAMENTO!$O$10)*0</f>
        <v>0</v>
      </c>
      <c r="M196" s="222" t="n">
        <f aca="false">(1-ORCAMENTO!$O$10)*0</f>
        <v>0</v>
      </c>
      <c r="N196" s="150"/>
      <c r="O196" s="150"/>
      <c r="P196" s="150"/>
      <c r="Q196" s="150"/>
      <c r="R196" s="150"/>
      <c r="S196" s="150"/>
      <c r="T196" s="150"/>
      <c r="U196" s="150"/>
      <c r="V196" s="150"/>
      <c r="W196" s="150"/>
      <c r="X196" s="150"/>
      <c r="Y196" s="150"/>
      <c r="Z196" s="150"/>
    </row>
    <row r="197" customFormat="false" ht="14.25" hidden="false" customHeight="true" outlineLevel="0" collapsed="false">
      <c r="A197" s="228"/>
      <c r="B197" s="217"/>
      <c r="C197" s="228"/>
      <c r="D197" s="218"/>
      <c r="E197" s="219"/>
      <c r="F197" s="220"/>
      <c r="G197" s="221"/>
      <c r="H197" s="221"/>
      <c r="I197" s="222"/>
      <c r="J197" s="222"/>
      <c r="K197" s="222"/>
      <c r="L197" s="222"/>
      <c r="M197" s="222"/>
      <c r="N197" s="150"/>
      <c r="O197" s="150"/>
      <c r="P197" s="150"/>
      <c r="Q197" s="150"/>
      <c r="R197" s="150"/>
      <c r="S197" s="150"/>
      <c r="T197" s="150"/>
      <c r="U197" s="150"/>
      <c r="V197" s="150"/>
      <c r="W197" s="150"/>
      <c r="X197" s="150"/>
      <c r="Y197" s="150"/>
      <c r="Z197" s="150"/>
    </row>
    <row r="198" customFormat="false" ht="14.25" hidden="false" customHeight="true" outlineLevel="0" collapsed="false">
      <c r="A198" s="223" t="s">
        <v>522</v>
      </c>
      <c r="B198" s="160" t="s">
        <v>69</v>
      </c>
      <c r="C198" s="223"/>
      <c r="D198" s="224" t="s">
        <v>134</v>
      </c>
      <c r="E198" s="159" t="s">
        <v>106</v>
      </c>
      <c r="F198" s="225"/>
      <c r="G198" s="226"/>
      <c r="H198" s="226" t="n">
        <f aca="false">SUM($I$198:$M$198)</f>
        <v>0.44</v>
      </c>
      <c r="I198" s="227" t="n">
        <f aca="false">ROUND((1-ORCAMENTO!$O$10)*0.07,2)</f>
        <v>0.07</v>
      </c>
      <c r="J198" s="227" t="n">
        <f aca="false">ROUND((1-ORCAMENTO!$O$10)*0.37,2)</f>
        <v>0.37</v>
      </c>
      <c r="K198" s="227" t="n">
        <f aca="false">ROUND((1-ORCAMENTO!$O$10)*0,2)</f>
        <v>0</v>
      </c>
      <c r="L198" s="227" t="n">
        <f aca="false">ROUND((1-ORCAMENTO!$O$10)*0,2)</f>
        <v>0</v>
      </c>
      <c r="M198" s="227" t="n">
        <f aca="false">ROUND((1-ORCAMENTO!$O$10)*0,2)</f>
        <v>0</v>
      </c>
      <c r="N198" s="150"/>
      <c r="O198" s="150"/>
      <c r="P198" s="150"/>
      <c r="Q198" s="150"/>
      <c r="R198" s="150"/>
      <c r="S198" s="150"/>
      <c r="T198" s="150"/>
      <c r="U198" s="150"/>
      <c r="V198" s="150"/>
      <c r="W198" s="150"/>
      <c r="X198" s="150"/>
      <c r="Y198" s="150"/>
      <c r="Z198" s="150"/>
    </row>
    <row r="199" customFormat="false" ht="14.25" hidden="false" customHeight="true" outlineLevel="0" collapsed="false">
      <c r="A199" s="228" t="s">
        <v>341</v>
      </c>
      <c r="B199" s="217" t="s">
        <v>69</v>
      </c>
      <c r="C199" s="228" t="s">
        <v>399</v>
      </c>
      <c r="D199" s="218" t="s">
        <v>400</v>
      </c>
      <c r="E199" s="219" t="s">
        <v>71</v>
      </c>
      <c r="F199" s="220" t="n">
        <v>0.00715</v>
      </c>
      <c r="G199" s="221" t="n">
        <f aca="false">ROUND((1-ORCAMENTO!$O$10)*32.55,2)</f>
        <v>32.55</v>
      </c>
      <c r="H199" s="221" t="n">
        <f aca="false">(1-ORCAMENTO!$O$10)*0.23</f>
        <v>0.23</v>
      </c>
      <c r="I199" s="222" t="n">
        <f aca="false">(1-ORCAMENTO!$O$10)*0.0562705</f>
        <v>0.0562705</v>
      </c>
      <c r="J199" s="222" t="n">
        <f aca="false">(1-ORCAMENTO!$O$10)*0.176462</f>
        <v>0.176462</v>
      </c>
      <c r="K199" s="222" t="n">
        <f aca="false">(1-ORCAMENTO!$O$10)*0</f>
        <v>0</v>
      </c>
      <c r="L199" s="222" t="n">
        <f aca="false">(1-ORCAMENTO!$O$10)*0</f>
        <v>0</v>
      </c>
      <c r="M199" s="222" t="n">
        <f aca="false">(1-ORCAMENTO!$O$10)*0</f>
        <v>0</v>
      </c>
      <c r="N199" s="150"/>
      <c r="O199" s="150"/>
      <c r="P199" s="150"/>
      <c r="Q199" s="150"/>
      <c r="R199" s="150"/>
      <c r="S199" s="150"/>
      <c r="T199" s="150"/>
      <c r="U199" s="150"/>
      <c r="V199" s="150"/>
      <c r="W199" s="150"/>
      <c r="X199" s="150"/>
      <c r="Y199" s="150"/>
      <c r="Z199" s="150"/>
    </row>
    <row r="200" customFormat="false" ht="14.25" hidden="false" customHeight="true" outlineLevel="0" collapsed="false">
      <c r="A200" s="217" t="s">
        <v>341</v>
      </c>
      <c r="B200" s="217" t="s">
        <v>69</v>
      </c>
      <c r="C200" s="228" t="s">
        <v>348</v>
      </c>
      <c r="D200" s="218" t="s">
        <v>349</v>
      </c>
      <c r="E200" s="219" t="s">
        <v>71</v>
      </c>
      <c r="F200" s="220" t="n">
        <v>0.00786</v>
      </c>
      <c r="G200" s="221" t="n">
        <f aca="false">ROUND((1-ORCAMENTO!$O$10)*25.12,2)</f>
        <v>25.12</v>
      </c>
      <c r="H200" s="221" t="n">
        <f aca="false">(1-ORCAMENTO!$O$10)*0.19</f>
        <v>0.19</v>
      </c>
      <c r="I200" s="222" t="n">
        <f aca="false">(1-ORCAMENTO!$O$10)*0.060522</f>
        <v>0.060522</v>
      </c>
      <c r="J200" s="222" t="n">
        <f aca="false">(1-ORCAMENTO!$O$10)*0.1369212</f>
        <v>0.1369212</v>
      </c>
      <c r="K200" s="222" t="n">
        <f aca="false">(1-ORCAMENTO!$O$10)*0</f>
        <v>0</v>
      </c>
      <c r="L200" s="222" t="n">
        <f aca="false">(1-ORCAMENTO!$O$10)*0</f>
        <v>0</v>
      </c>
      <c r="M200" s="222" t="n">
        <f aca="false">(1-ORCAMENTO!$O$10)*0</f>
        <v>0</v>
      </c>
      <c r="N200" s="150"/>
      <c r="O200" s="150"/>
      <c r="P200" s="150"/>
      <c r="Q200" s="150"/>
      <c r="R200" s="150"/>
      <c r="S200" s="150"/>
      <c r="T200" s="150"/>
      <c r="U200" s="150"/>
      <c r="V200" s="150"/>
      <c r="W200" s="150"/>
      <c r="X200" s="150"/>
      <c r="Y200" s="150"/>
      <c r="Z200" s="150"/>
    </row>
    <row r="201" customFormat="false" ht="14.25" hidden="false" customHeight="true" outlineLevel="0" collapsed="false">
      <c r="A201" s="228" t="s">
        <v>341</v>
      </c>
      <c r="B201" s="217" t="s">
        <v>69</v>
      </c>
      <c r="C201" s="228" t="s">
        <v>454</v>
      </c>
      <c r="D201" s="218" t="s">
        <v>455</v>
      </c>
      <c r="E201" s="219" t="s">
        <v>344</v>
      </c>
      <c r="F201" s="220" t="n">
        <v>0.00236</v>
      </c>
      <c r="G201" s="221" t="n">
        <f aca="false">ROUND((1-ORCAMENTO!$O$10)*10.82,2)</f>
        <v>10.82</v>
      </c>
      <c r="H201" s="221" t="n">
        <f aca="false">(1-ORCAMENTO!$O$10)*0.02</f>
        <v>0.02</v>
      </c>
      <c r="I201" s="222" t="n">
        <f aca="false">(1-ORCAMENTO!$O$10)*0.0203432</f>
        <v>0.0203432</v>
      </c>
      <c r="J201" s="222" t="n">
        <f aca="false">(1-ORCAMENTO!$O$10)*0</f>
        <v>0</v>
      </c>
      <c r="K201" s="222" t="n">
        <f aca="false">(1-ORCAMENTO!$O$10)*0.005192</f>
        <v>0.005192</v>
      </c>
      <c r="L201" s="222" t="n">
        <f aca="false">(1-ORCAMENTO!$O$10)*0</f>
        <v>0</v>
      </c>
      <c r="M201" s="222" t="n">
        <f aca="false">(1-ORCAMENTO!$O$10)*0</f>
        <v>0</v>
      </c>
      <c r="N201" s="150"/>
      <c r="O201" s="150"/>
      <c r="P201" s="150"/>
      <c r="Q201" s="150"/>
      <c r="R201" s="150"/>
      <c r="S201" s="150"/>
      <c r="T201" s="150"/>
      <c r="U201" s="150"/>
      <c r="V201" s="150"/>
      <c r="W201" s="150"/>
      <c r="X201" s="150"/>
      <c r="Y201" s="150"/>
      <c r="Z201" s="150"/>
    </row>
    <row r="202" customFormat="false" ht="14.25" hidden="false" customHeight="true" outlineLevel="0" collapsed="false">
      <c r="A202" s="228"/>
      <c r="B202" s="217"/>
      <c r="C202" s="228"/>
      <c r="D202" s="218"/>
      <c r="E202" s="219"/>
      <c r="F202" s="220"/>
      <c r="G202" s="221"/>
      <c r="H202" s="221"/>
      <c r="I202" s="222"/>
      <c r="J202" s="222"/>
      <c r="K202" s="222"/>
      <c r="L202" s="222"/>
      <c r="M202" s="222"/>
      <c r="N202" s="150"/>
      <c r="O202" s="150"/>
      <c r="P202" s="150"/>
      <c r="Q202" s="150"/>
      <c r="R202" s="150"/>
      <c r="S202" s="150"/>
      <c r="T202" s="150"/>
      <c r="U202" s="150"/>
      <c r="V202" s="150"/>
      <c r="W202" s="150"/>
      <c r="X202" s="150"/>
      <c r="Y202" s="150"/>
      <c r="Z202" s="150"/>
    </row>
    <row r="203" customFormat="false" ht="14.25" hidden="false" customHeight="true" outlineLevel="0" collapsed="false">
      <c r="A203" s="223" t="s">
        <v>395</v>
      </c>
      <c r="B203" s="160" t="s">
        <v>69</v>
      </c>
      <c r="C203" s="223"/>
      <c r="D203" s="224" t="s">
        <v>177</v>
      </c>
      <c r="E203" s="159" t="s">
        <v>62</v>
      </c>
      <c r="F203" s="225"/>
      <c r="G203" s="226"/>
      <c r="H203" s="226" t="n">
        <f aca="false">SUM($I$203:$M$203)</f>
        <v>17.1</v>
      </c>
      <c r="I203" s="227" t="n">
        <f aca="false">ROUND((1-ORCAMENTO!$O$10)*4.78,2)</f>
        <v>4.78</v>
      </c>
      <c r="J203" s="227" t="n">
        <f aca="false">ROUND((1-ORCAMENTO!$O$10)*12.32,2)</f>
        <v>12.32</v>
      </c>
      <c r="K203" s="227" t="n">
        <f aca="false">ROUND((1-ORCAMENTO!$O$10)*0,2)</f>
        <v>0</v>
      </c>
      <c r="L203" s="227" t="n">
        <f aca="false">ROUND((1-ORCAMENTO!$O$10)*0,2)</f>
        <v>0</v>
      </c>
      <c r="M203" s="227" t="n">
        <f aca="false">ROUND((1-ORCAMENTO!$O$10)*0,2)</f>
        <v>0</v>
      </c>
      <c r="N203" s="150"/>
      <c r="O203" s="150"/>
      <c r="P203" s="150"/>
      <c r="Q203" s="150"/>
      <c r="R203" s="150"/>
      <c r="S203" s="150"/>
      <c r="T203" s="150"/>
      <c r="U203" s="150"/>
      <c r="V203" s="150"/>
      <c r="W203" s="150"/>
      <c r="X203" s="150"/>
      <c r="Y203" s="150"/>
      <c r="Z203" s="150"/>
    </row>
    <row r="204" customFormat="false" ht="14.25" hidden="false" customHeight="true" outlineLevel="0" collapsed="false">
      <c r="A204" s="228" t="s">
        <v>341</v>
      </c>
      <c r="B204" s="217" t="s">
        <v>69</v>
      </c>
      <c r="C204" s="228" t="s">
        <v>389</v>
      </c>
      <c r="D204" s="218" t="s">
        <v>390</v>
      </c>
      <c r="E204" s="219" t="s">
        <v>71</v>
      </c>
      <c r="F204" s="220" t="n">
        <v>0.4591</v>
      </c>
      <c r="G204" s="221" t="n">
        <f aca="false">ROUND((1-ORCAMENTO!$O$10)*28.61,2)</f>
        <v>28.61</v>
      </c>
      <c r="H204" s="221" t="n">
        <f aca="false">(1-ORCAMENTO!$O$10)*13.13</f>
        <v>13.13</v>
      </c>
      <c r="I204" s="222" t="n">
        <f aca="false">(1-ORCAMENTO!$O$10)*3.613117</f>
        <v>3.613117</v>
      </c>
      <c r="J204" s="222" t="n">
        <f aca="false">(1-ORCAMENTO!$O$10)*9.521734</f>
        <v>9.521734</v>
      </c>
      <c r="K204" s="222" t="n">
        <f aca="false">(1-ORCAMENTO!$O$10)*0</f>
        <v>0</v>
      </c>
      <c r="L204" s="222" t="n">
        <f aca="false">(1-ORCAMENTO!$O$10)*0</f>
        <v>0</v>
      </c>
      <c r="M204" s="222" t="n">
        <f aca="false">(1-ORCAMENTO!$O$10)*0</f>
        <v>0</v>
      </c>
      <c r="N204" s="150"/>
      <c r="O204" s="150"/>
      <c r="P204" s="150"/>
      <c r="Q204" s="150"/>
      <c r="R204" s="150"/>
      <c r="S204" s="150"/>
      <c r="T204" s="150"/>
      <c r="U204" s="150"/>
      <c r="V204" s="150"/>
      <c r="W204" s="150"/>
      <c r="X204" s="150"/>
      <c r="Y204" s="150"/>
      <c r="Z204" s="150"/>
    </row>
    <row r="205" customFormat="false" ht="14.25" hidden="false" customHeight="true" outlineLevel="0" collapsed="false">
      <c r="A205" s="228" t="s">
        <v>341</v>
      </c>
      <c r="B205" s="217" t="s">
        <v>69</v>
      </c>
      <c r="C205" s="228" t="s">
        <v>348</v>
      </c>
      <c r="D205" s="218" t="s">
        <v>349</v>
      </c>
      <c r="E205" s="219" t="s">
        <v>71</v>
      </c>
      <c r="F205" s="220" t="n">
        <v>0.1582</v>
      </c>
      <c r="G205" s="221" t="n">
        <f aca="false">ROUND((1-ORCAMENTO!$O$10)*25.12,2)</f>
        <v>25.12</v>
      </c>
      <c r="H205" s="221" t="n">
        <f aca="false">(1-ORCAMENTO!$O$10)*3.97</f>
        <v>3.97</v>
      </c>
      <c r="I205" s="222" t="n">
        <f aca="false">(1-ORCAMENTO!$O$10)*1.21814</f>
        <v>1.21814</v>
      </c>
      <c r="J205" s="222" t="n">
        <f aca="false">(1-ORCAMENTO!$O$10)*2.755844</f>
        <v>2.755844</v>
      </c>
      <c r="K205" s="222" t="n">
        <f aca="false">(1-ORCAMENTO!$O$10)*0</f>
        <v>0</v>
      </c>
      <c r="L205" s="222" t="n">
        <f aca="false">(1-ORCAMENTO!$O$10)*0</f>
        <v>0</v>
      </c>
      <c r="M205" s="222" t="n">
        <f aca="false">(1-ORCAMENTO!$O$10)*0</f>
        <v>0</v>
      </c>
      <c r="N205" s="150"/>
      <c r="O205" s="150"/>
      <c r="P205" s="150"/>
      <c r="Q205" s="150"/>
      <c r="R205" s="150"/>
      <c r="S205" s="150"/>
      <c r="T205" s="150"/>
      <c r="U205" s="150"/>
      <c r="V205" s="150"/>
      <c r="W205" s="150"/>
      <c r="X205" s="150"/>
      <c r="Y205" s="150"/>
      <c r="Z205" s="150"/>
    </row>
    <row r="206" customFormat="false" ht="14.25" hidden="false" customHeight="true" outlineLevel="0" collapsed="false">
      <c r="A206" s="228"/>
      <c r="B206" s="217"/>
      <c r="C206" s="228"/>
      <c r="D206" s="218"/>
      <c r="E206" s="219"/>
      <c r="F206" s="220"/>
      <c r="G206" s="221"/>
      <c r="H206" s="221"/>
      <c r="I206" s="222"/>
      <c r="J206" s="222"/>
      <c r="K206" s="222"/>
      <c r="L206" s="222"/>
      <c r="M206" s="222"/>
      <c r="N206" s="150"/>
      <c r="O206" s="150"/>
      <c r="P206" s="150"/>
      <c r="Q206" s="150"/>
      <c r="R206" s="150"/>
      <c r="S206" s="150"/>
      <c r="T206" s="150"/>
      <c r="U206" s="150"/>
      <c r="V206" s="150"/>
      <c r="W206" s="150"/>
      <c r="X206" s="150"/>
      <c r="Y206" s="150"/>
      <c r="Z206" s="150"/>
    </row>
    <row r="207" customFormat="false" ht="14.25" hidden="false" customHeight="true" outlineLevel="0" collapsed="false">
      <c r="A207" s="223" t="s">
        <v>523</v>
      </c>
      <c r="B207" s="160" t="s">
        <v>69</v>
      </c>
      <c r="C207" s="223"/>
      <c r="D207" s="224" t="s">
        <v>258</v>
      </c>
      <c r="E207" s="159" t="s">
        <v>259</v>
      </c>
      <c r="F207" s="225"/>
      <c r="G207" s="226"/>
      <c r="H207" s="226" t="n">
        <f aca="false">SUM($I$207:$M$207)</f>
        <v>2.82</v>
      </c>
      <c r="I207" s="227" t="n">
        <f aca="false">ROUND((1-ORCAMENTO!$O$10)*1.04,2)</f>
        <v>1.04</v>
      </c>
      <c r="J207" s="227" t="n">
        <f aca="false">ROUND((1-ORCAMENTO!$O$10)*0.52,2)</f>
        <v>0.52</v>
      </c>
      <c r="K207" s="227" t="n">
        <f aca="false">ROUND((1-ORCAMENTO!$O$10)*1.26,2)</f>
        <v>1.26</v>
      </c>
      <c r="L207" s="227" t="n">
        <f aca="false">ROUND((1-ORCAMENTO!$O$10)*0,2)</f>
        <v>0</v>
      </c>
      <c r="M207" s="227" t="n">
        <f aca="false">ROUND((1-ORCAMENTO!$O$10)*0,2)</f>
        <v>0</v>
      </c>
      <c r="N207" s="150"/>
      <c r="O207" s="150"/>
      <c r="P207" s="150"/>
      <c r="Q207" s="150"/>
      <c r="R207" s="150"/>
      <c r="S207" s="150"/>
      <c r="T207" s="150"/>
      <c r="U207" s="150"/>
      <c r="V207" s="150"/>
      <c r="W207" s="150"/>
      <c r="X207" s="150"/>
      <c r="Y207" s="150"/>
      <c r="Z207" s="150"/>
    </row>
    <row r="208" customFormat="false" ht="14.25" hidden="false" customHeight="true" outlineLevel="0" collapsed="false">
      <c r="A208" s="228" t="s">
        <v>341</v>
      </c>
      <c r="B208" s="217" t="s">
        <v>69</v>
      </c>
      <c r="C208" s="228" t="s">
        <v>368</v>
      </c>
      <c r="D208" s="218" t="s">
        <v>369</v>
      </c>
      <c r="E208" s="219" t="s">
        <v>344</v>
      </c>
      <c r="F208" s="220" t="n">
        <v>0.0139</v>
      </c>
      <c r="G208" s="221" t="n">
        <f aca="false">ROUND((1-ORCAMENTO!$O$10)*174.96,2)</f>
        <v>174.96</v>
      </c>
      <c r="H208" s="221" t="n">
        <f aca="false">(1-ORCAMENTO!$O$10)*2.43</f>
        <v>2.43</v>
      </c>
      <c r="I208" s="222" t="n">
        <f aca="false">(1-ORCAMENTO!$O$10)*1.001634</f>
        <v>1.001634</v>
      </c>
      <c r="J208" s="222" t="n">
        <f aca="false">(1-ORCAMENTO!$O$10)*0.360705</f>
        <v>0.360705</v>
      </c>
      <c r="K208" s="222" t="n">
        <f aca="false">(1-ORCAMENTO!$O$10)*1.069605</f>
        <v>1.069605</v>
      </c>
      <c r="L208" s="222" t="n">
        <f aca="false">(1-ORCAMENTO!$O$10)*0</f>
        <v>0</v>
      </c>
      <c r="M208" s="222" t="n">
        <f aca="false">(1-ORCAMENTO!$O$10)*0</f>
        <v>0</v>
      </c>
      <c r="N208" s="150"/>
      <c r="O208" s="150"/>
      <c r="P208" s="150"/>
      <c r="Q208" s="150"/>
      <c r="R208" s="150"/>
      <c r="S208" s="150"/>
      <c r="T208" s="150"/>
      <c r="U208" s="150"/>
      <c r="V208" s="150"/>
      <c r="W208" s="150"/>
      <c r="X208" s="150"/>
      <c r="Y208" s="150"/>
      <c r="Z208" s="150"/>
    </row>
    <row r="209" customFormat="false" ht="14.25" hidden="false" customHeight="true" outlineLevel="0" collapsed="false">
      <c r="A209" s="228" t="s">
        <v>341</v>
      </c>
      <c r="B209" s="217" t="s">
        <v>69</v>
      </c>
      <c r="C209" s="228" t="s">
        <v>370</v>
      </c>
      <c r="D209" s="218" t="s">
        <v>371</v>
      </c>
      <c r="E209" s="219" t="s">
        <v>347</v>
      </c>
      <c r="F209" s="220" t="n">
        <v>0.006</v>
      </c>
      <c r="G209" s="221" t="n">
        <f aca="false">ROUND((1-ORCAMENTO!$O$10)*65.66,2)</f>
        <v>65.66</v>
      </c>
      <c r="H209" s="221" t="n">
        <f aca="false">(1-ORCAMENTO!$O$10)*0.39</f>
        <v>0.39</v>
      </c>
      <c r="I209" s="222" t="n">
        <f aca="false">(1-ORCAMENTO!$O$10)*0.04014</f>
        <v>0.04014</v>
      </c>
      <c r="J209" s="222" t="n">
        <f aca="false">(1-ORCAMENTO!$O$10)*0.1557</f>
        <v>0.1557</v>
      </c>
      <c r="K209" s="222" t="n">
        <f aca="false">(1-ORCAMENTO!$O$10)*0.19812</f>
        <v>0.19812</v>
      </c>
      <c r="L209" s="222" t="n">
        <f aca="false">(1-ORCAMENTO!$O$10)*0</f>
        <v>0</v>
      </c>
      <c r="M209" s="222" t="n">
        <f aca="false">(1-ORCAMENTO!$O$10)*0</f>
        <v>0</v>
      </c>
      <c r="N209" s="150"/>
      <c r="O209" s="150"/>
      <c r="P209" s="150"/>
      <c r="Q209" s="150"/>
      <c r="R209" s="150"/>
      <c r="S209" s="150"/>
      <c r="T209" s="150"/>
      <c r="U209" s="150"/>
      <c r="V209" s="150"/>
      <c r="W209" s="150"/>
      <c r="X209" s="150"/>
      <c r="Y209" s="150"/>
      <c r="Z209" s="150"/>
    </row>
    <row r="210" customFormat="false" ht="14.25" hidden="false" customHeight="true" outlineLevel="0" collapsed="false">
      <c r="A210" s="228"/>
      <c r="B210" s="217"/>
      <c r="C210" s="228"/>
      <c r="D210" s="218"/>
      <c r="E210" s="219"/>
      <c r="F210" s="220"/>
      <c r="G210" s="221"/>
      <c r="H210" s="221"/>
      <c r="I210" s="222"/>
      <c r="J210" s="222"/>
      <c r="K210" s="222"/>
      <c r="L210" s="222"/>
      <c r="M210" s="222"/>
      <c r="N210" s="150"/>
      <c r="O210" s="150"/>
      <c r="P210" s="150"/>
      <c r="Q210" s="150"/>
      <c r="R210" s="150"/>
      <c r="S210" s="150"/>
      <c r="T210" s="150"/>
      <c r="U210" s="150"/>
      <c r="V210" s="150"/>
      <c r="W210" s="150"/>
      <c r="X210" s="150"/>
      <c r="Y210" s="150"/>
      <c r="Z210" s="150"/>
    </row>
    <row r="211" customFormat="false" ht="14.25" hidden="false" customHeight="true" outlineLevel="0" collapsed="false">
      <c r="A211" s="223" t="s">
        <v>524</v>
      </c>
      <c r="B211" s="160" t="s">
        <v>69</v>
      </c>
      <c r="C211" s="223"/>
      <c r="D211" s="224" t="s">
        <v>144</v>
      </c>
      <c r="E211" s="159" t="s">
        <v>62</v>
      </c>
      <c r="F211" s="225"/>
      <c r="G211" s="226"/>
      <c r="H211" s="226" t="n">
        <f aca="false">SUM($I$211:$M$211)</f>
        <v>11.01</v>
      </c>
      <c r="I211" s="227" t="n">
        <f aca="false">ROUND((1-ORCAMENTO!$O$10)*7.58,2)</f>
        <v>7.58</v>
      </c>
      <c r="J211" s="227" t="n">
        <f aca="false">ROUND((1-ORCAMENTO!$O$10)*3.43,2)</f>
        <v>3.43</v>
      </c>
      <c r="K211" s="227" t="n">
        <f aca="false">ROUND((1-ORCAMENTO!$O$10)*0,2)</f>
        <v>0</v>
      </c>
      <c r="L211" s="227" t="n">
        <f aca="false">ROUND((1-ORCAMENTO!$O$10)*0,2)</f>
        <v>0</v>
      </c>
      <c r="M211" s="227" t="n">
        <f aca="false">ROUND((1-ORCAMENTO!$O$10)*0,2)</f>
        <v>0</v>
      </c>
      <c r="N211" s="150"/>
      <c r="O211" s="150"/>
      <c r="P211" s="150"/>
      <c r="Q211" s="150"/>
      <c r="R211" s="150"/>
      <c r="S211" s="150"/>
      <c r="T211" s="150"/>
      <c r="U211" s="150"/>
      <c r="V211" s="150"/>
      <c r="W211" s="150"/>
      <c r="X211" s="150"/>
      <c r="Y211" s="150"/>
      <c r="Z211" s="150"/>
    </row>
    <row r="212" customFormat="false" ht="14.25" hidden="false" customHeight="true" outlineLevel="0" collapsed="false">
      <c r="A212" s="228" t="s">
        <v>341</v>
      </c>
      <c r="B212" s="217" t="s">
        <v>383</v>
      </c>
      <c r="C212" s="228" t="s">
        <v>525</v>
      </c>
      <c r="D212" s="218" t="s">
        <v>526</v>
      </c>
      <c r="E212" s="219" t="s">
        <v>62</v>
      </c>
      <c r="F212" s="220" t="n">
        <v>1</v>
      </c>
      <c r="G212" s="221" t="n">
        <f aca="false">ROUND((1-ORCAMENTO!$O$10)*6.07,2)</f>
        <v>6.07</v>
      </c>
      <c r="H212" s="221" t="n">
        <f aca="false">(1-ORCAMENTO!$O$10)*6.07</f>
        <v>6.07</v>
      </c>
      <c r="I212" s="222" t="s">
        <v>386</v>
      </c>
      <c r="J212" s="222" t="s">
        <v>386</v>
      </c>
      <c r="K212" s="222" t="s">
        <v>386</v>
      </c>
      <c r="L212" s="222" t="s">
        <v>386</v>
      </c>
      <c r="M212" s="222" t="s">
        <v>386</v>
      </c>
      <c r="N212" s="150"/>
      <c r="O212" s="150"/>
      <c r="P212" s="150"/>
      <c r="Q212" s="150"/>
      <c r="R212" s="150"/>
      <c r="S212" s="150"/>
      <c r="T212" s="150"/>
      <c r="U212" s="150"/>
      <c r="V212" s="150"/>
      <c r="W212" s="150"/>
      <c r="X212" s="150"/>
      <c r="Y212" s="150"/>
      <c r="Z212" s="150"/>
    </row>
    <row r="213" customFormat="false" ht="14.25" hidden="false" customHeight="true" outlineLevel="0" collapsed="false">
      <c r="A213" s="228" t="s">
        <v>341</v>
      </c>
      <c r="B213" s="217" t="s">
        <v>69</v>
      </c>
      <c r="C213" s="228" t="s">
        <v>348</v>
      </c>
      <c r="D213" s="218" t="s">
        <v>349</v>
      </c>
      <c r="E213" s="219" t="s">
        <v>71</v>
      </c>
      <c r="F213" s="220" t="n">
        <v>0.1564</v>
      </c>
      <c r="G213" s="221" t="n">
        <f aca="false">ROUND((1-ORCAMENTO!$O$10)*25.12,2)</f>
        <v>25.12</v>
      </c>
      <c r="H213" s="221" t="n">
        <f aca="false">(1-ORCAMENTO!$O$10)*3.92</f>
        <v>3.92</v>
      </c>
      <c r="I213" s="222" t="n">
        <f aca="false">(1-ORCAMENTO!$O$10)*1.20428</f>
        <v>1.20428</v>
      </c>
      <c r="J213" s="222" t="n">
        <f aca="false">(1-ORCAMENTO!$O$10)*2.724488</f>
        <v>2.724488</v>
      </c>
      <c r="K213" s="222" t="n">
        <f aca="false">(1-ORCAMENTO!$O$10)*0</f>
        <v>0</v>
      </c>
      <c r="L213" s="222" t="n">
        <f aca="false">(1-ORCAMENTO!$O$10)*0</f>
        <v>0</v>
      </c>
      <c r="M213" s="222" t="n">
        <f aca="false">(1-ORCAMENTO!$O$10)*0</f>
        <v>0</v>
      </c>
      <c r="N213" s="150"/>
      <c r="O213" s="150"/>
      <c r="P213" s="150"/>
      <c r="Q213" s="150"/>
      <c r="R213" s="150"/>
      <c r="S213" s="150"/>
      <c r="T213" s="150"/>
      <c r="U213" s="150"/>
      <c r="V213" s="150"/>
      <c r="W213" s="150"/>
      <c r="X213" s="150"/>
      <c r="Y213" s="150"/>
      <c r="Z213" s="150"/>
    </row>
    <row r="214" customFormat="false" ht="14.25" hidden="false" customHeight="true" outlineLevel="0" collapsed="false">
      <c r="A214" s="228" t="s">
        <v>341</v>
      </c>
      <c r="B214" s="217" t="s">
        <v>69</v>
      </c>
      <c r="C214" s="228" t="s">
        <v>527</v>
      </c>
      <c r="D214" s="218" t="s">
        <v>528</v>
      </c>
      <c r="E214" s="219" t="s">
        <v>71</v>
      </c>
      <c r="F214" s="220" t="n">
        <v>0.0391</v>
      </c>
      <c r="G214" s="221" t="n">
        <f aca="false">ROUND((1-ORCAMENTO!$O$10)*26.16,2)</f>
        <v>26.16</v>
      </c>
      <c r="H214" s="221" t="n">
        <f aca="false">(1-ORCAMENTO!$O$10)*1.02</f>
        <v>1.02</v>
      </c>
      <c r="I214" s="222" t="n">
        <f aca="false">(1-ORCAMENTO!$O$10)*0.307717</f>
        <v>0.307717</v>
      </c>
      <c r="J214" s="222" t="n">
        <f aca="false">(1-ORCAMENTO!$O$10)*0.715139</f>
        <v>0.715139</v>
      </c>
      <c r="K214" s="222" t="n">
        <f aca="false">(1-ORCAMENTO!$O$10)*0</f>
        <v>0</v>
      </c>
      <c r="L214" s="222" t="n">
        <f aca="false">(1-ORCAMENTO!$O$10)*0</f>
        <v>0</v>
      </c>
      <c r="M214" s="222" t="n">
        <f aca="false">(1-ORCAMENTO!$O$10)*0</f>
        <v>0</v>
      </c>
      <c r="N214" s="150"/>
      <c r="O214" s="150"/>
      <c r="P214" s="150"/>
      <c r="Q214" s="150"/>
      <c r="R214" s="150"/>
      <c r="S214" s="150"/>
      <c r="T214" s="150"/>
      <c r="U214" s="150"/>
      <c r="V214" s="150"/>
      <c r="W214" s="150"/>
      <c r="X214" s="150"/>
      <c r="Y214" s="150"/>
      <c r="Z214" s="150"/>
    </row>
    <row r="215" customFormat="false" ht="14.25" hidden="false" customHeight="true" outlineLevel="0" collapsed="false">
      <c r="A215" s="228"/>
      <c r="B215" s="217"/>
      <c r="C215" s="228"/>
      <c r="D215" s="218"/>
      <c r="E215" s="219"/>
      <c r="F215" s="220"/>
      <c r="G215" s="221"/>
      <c r="H215" s="221"/>
      <c r="I215" s="222"/>
      <c r="J215" s="222"/>
      <c r="K215" s="222"/>
      <c r="L215" s="222"/>
      <c r="M215" s="222"/>
      <c r="N215" s="150"/>
      <c r="O215" s="150"/>
      <c r="P215" s="150"/>
      <c r="Q215" s="150"/>
      <c r="R215" s="150"/>
      <c r="S215" s="150"/>
      <c r="T215" s="150"/>
      <c r="U215" s="150"/>
      <c r="V215" s="150"/>
      <c r="W215" s="150"/>
      <c r="X215" s="150"/>
      <c r="Y215" s="150"/>
      <c r="Z215" s="150"/>
    </row>
    <row r="216" customFormat="false" ht="14.25" hidden="false" customHeight="true" outlineLevel="0" collapsed="false">
      <c r="A216" s="223" t="s">
        <v>529</v>
      </c>
      <c r="B216" s="160" t="s">
        <v>69</v>
      </c>
      <c r="C216" s="223"/>
      <c r="D216" s="224" t="s">
        <v>170</v>
      </c>
      <c r="E216" s="159" t="s">
        <v>62</v>
      </c>
      <c r="F216" s="225"/>
      <c r="G216" s="226"/>
      <c r="H216" s="226" t="n">
        <f aca="false">SUM($I$216:$M$216)</f>
        <v>0.43</v>
      </c>
      <c r="I216" s="227" t="n">
        <f aca="false">ROUND((1-ORCAMENTO!$O$10)*0.05,2)</f>
        <v>0.05</v>
      </c>
      <c r="J216" s="227" t="n">
        <f aca="false">ROUND((1-ORCAMENTO!$O$10)*0.22,2)</f>
        <v>0.22</v>
      </c>
      <c r="K216" s="227" t="n">
        <f aca="false">ROUND((1-ORCAMENTO!$O$10)*0.16,2)</f>
        <v>0.16</v>
      </c>
      <c r="L216" s="227" t="n">
        <f aca="false">ROUND((1-ORCAMENTO!$O$10)*0,2)</f>
        <v>0</v>
      </c>
      <c r="M216" s="227" t="n">
        <f aca="false">ROUND((1-ORCAMENTO!$O$10)*0,2)</f>
        <v>0</v>
      </c>
      <c r="N216" s="150"/>
      <c r="O216" s="150"/>
      <c r="P216" s="150"/>
      <c r="Q216" s="150"/>
      <c r="R216" s="150"/>
      <c r="S216" s="150"/>
      <c r="T216" s="150"/>
      <c r="U216" s="150"/>
      <c r="V216" s="150"/>
      <c r="W216" s="150"/>
      <c r="X216" s="150"/>
      <c r="Y216" s="150"/>
      <c r="Z216" s="150"/>
    </row>
    <row r="217" customFormat="false" ht="14.25" hidden="false" customHeight="true" outlineLevel="0" collapsed="false">
      <c r="A217" s="228" t="s">
        <v>341</v>
      </c>
      <c r="B217" s="217" t="s">
        <v>69</v>
      </c>
      <c r="C217" s="228" t="s">
        <v>348</v>
      </c>
      <c r="D217" s="218" t="s">
        <v>349</v>
      </c>
      <c r="E217" s="219" t="s">
        <v>71</v>
      </c>
      <c r="F217" s="220" t="n">
        <v>0.003</v>
      </c>
      <c r="G217" s="221" t="n">
        <f aca="false">ROUND((1-ORCAMENTO!$O$10)*25.12,2)</f>
        <v>25.12</v>
      </c>
      <c r="H217" s="221" t="n">
        <f aca="false">(1-ORCAMENTO!$O$10)*0.07</f>
        <v>0.07</v>
      </c>
      <c r="I217" s="222" t="n">
        <f aca="false">(1-ORCAMENTO!$O$10)*0.0231</f>
        <v>0.0231</v>
      </c>
      <c r="J217" s="222" t="n">
        <f aca="false">(1-ORCAMENTO!$O$10)*0.05226</f>
        <v>0.05226</v>
      </c>
      <c r="K217" s="222" t="n">
        <f aca="false">(1-ORCAMENTO!$O$10)*0</f>
        <v>0</v>
      </c>
      <c r="L217" s="222" t="n">
        <f aca="false">(1-ORCAMENTO!$O$10)*0</f>
        <v>0</v>
      </c>
      <c r="M217" s="222" t="n">
        <f aca="false">(1-ORCAMENTO!$O$10)*0</f>
        <v>0</v>
      </c>
      <c r="N217" s="150"/>
      <c r="O217" s="150"/>
      <c r="P217" s="150"/>
      <c r="Q217" s="150"/>
      <c r="R217" s="150"/>
      <c r="S217" s="150"/>
      <c r="T217" s="150"/>
      <c r="U217" s="150"/>
      <c r="V217" s="150"/>
      <c r="W217" s="150"/>
      <c r="X217" s="150"/>
      <c r="Y217" s="150"/>
      <c r="Z217" s="150"/>
    </row>
    <row r="218" customFormat="false" ht="14.25" hidden="false" customHeight="true" outlineLevel="0" collapsed="false">
      <c r="A218" s="228" t="s">
        <v>341</v>
      </c>
      <c r="B218" s="217" t="s">
        <v>69</v>
      </c>
      <c r="C218" s="228" t="s">
        <v>527</v>
      </c>
      <c r="D218" s="218" t="s">
        <v>528</v>
      </c>
      <c r="E218" s="219" t="s">
        <v>71</v>
      </c>
      <c r="F218" s="220" t="n">
        <v>0.003</v>
      </c>
      <c r="G218" s="221" t="n">
        <f aca="false">ROUND((1-ORCAMENTO!$O$10)*26.16,2)</f>
        <v>26.16</v>
      </c>
      <c r="H218" s="221" t="n">
        <f aca="false">(1-ORCAMENTO!$O$10)*0.07</f>
        <v>0.07</v>
      </c>
      <c r="I218" s="222" t="n">
        <f aca="false">(1-ORCAMENTO!$O$10)*0.02361</f>
        <v>0.02361</v>
      </c>
      <c r="J218" s="222" t="n">
        <f aca="false">(1-ORCAMENTO!$O$10)*0.05487</f>
        <v>0.05487</v>
      </c>
      <c r="K218" s="222" t="n">
        <f aca="false">(1-ORCAMENTO!$O$10)*0</f>
        <v>0</v>
      </c>
      <c r="L218" s="222" t="n">
        <f aca="false">(1-ORCAMENTO!$O$10)*0</f>
        <v>0</v>
      </c>
      <c r="M218" s="222" t="n">
        <f aca="false">(1-ORCAMENTO!$O$10)*0</f>
        <v>0</v>
      </c>
      <c r="N218" s="150"/>
      <c r="O218" s="150"/>
      <c r="P218" s="150"/>
      <c r="Q218" s="150"/>
      <c r="R218" s="150"/>
      <c r="S218" s="150"/>
      <c r="T218" s="150"/>
      <c r="U218" s="150"/>
      <c r="V218" s="150"/>
      <c r="W218" s="150"/>
      <c r="X218" s="150"/>
      <c r="Y218" s="150"/>
      <c r="Z218" s="150"/>
    </row>
    <row r="219" customFormat="false" ht="14.25" hidden="false" customHeight="true" outlineLevel="0" collapsed="false">
      <c r="A219" s="228" t="s">
        <v>341</v>
      </c>
      <c r="B219" s="217" t="s">
        <v>69</v>
      </c>
      <c r="C219" s="228" t="s">
        <v>530</v>
      </c>
      <c r="D219" s="218" t="s">
        <v>531</v>
      </c>
      <c r="E219" s="219" t="s">
        <v>347</v>
      </c>
      <c r="F219" s="220" t="n">
        <v>0.0024</v>
      </c>
      <c r="G219" s="221" t="n">
        <f aca="false">ROUND((1-ORCAMENTO!$O$10)*75.61,2)</f>
        <v>75.61</v>
      </c>
      <c r="H219" s="221" t="n">
        <f aca="false">(1-ORCAMENTO!$O$10)*0.18</f>
        <v>0.18</v>
      </c>
      <c r="I219" s="222" t="n">
        <f aca="false">(1-ORCAMENTO!$O$10)*0.016056</f>
        <v>0.016056</v>
      </c>
      <c r="J219" s="222" t="n">
        <f aca="false">(1-ORCAMENTO!$O$10)*0.067392</f>
        <v>0.067392</v>
      </c>
      <c r="K219" s="222" t="n">
        <f aca="false">(1-ORCAMENTO!$O$10)*0.098016</f>
        <v>0.098016</v>
      </c>
      <c r="L219" s="222" t="n">
        <f aca="false">(1-ORCAMENTO!$O$10)*0</f>
        <v>0</v>
      </c>
      <c r="M219" s="222" t="n">
        <f aca="false">(1-ORCAMENTO!$O$10)*0</f>
        <v>0</v>
      </c>
      <c r="N219" s="150"/>
      <c r="O219" s="150"/>
      <c r="P219" s="150"/>
      <c r="Q219" s="150"/>
      <c r="R219" s="150"/>
      <c r="S219" s="150"/>
      <c r="T219" s="150"/>
      <c r="U219" s="150"/>
      <c r="V219" s="150"/>
      <c r="W219" s="150"/>
      <c r="X219" s="150"/>
      <c r="Y219" s="150"/>
      <c r="Z219" s="150"/>
    </row>
    <row r="220" customFormat="false" ht="14.25" hidden="false" customHeight="true" outlineLevel="0" collapsed="false">
      <c r="A220" s="228" t="s">
        <v>341</v>
      </c>
      <c r="B220" s="217" t="s">
        <v>69</v>
      </c>
      <c r="C220" s="228" t="s">
        <v>532</v>
      </c>
      <c r="D220" s="218" t="s">
        <v>533</v>
      </c>
      <c r="E220" s="219" t="s">
        <v>344</v>
      </c>
      <c r="F220" s="220" t="n">
        <v>0.0006</v>
      </c>
      <c r="G220" s="221" t="n">
        <f aca="false">ROUND((1-ORCAMENTO!$O$10)*185.33,2)</f>
        <v>185.33</v>
      </c>
      <c r="H220" s="221" t="n">
        <f aca="false">(1-ORCAMENTO!$O$10)*0.11</f>
        <v>0.11</v>
      </c>
      <c r="I220" s="222" t="n">
        <f aca="false">(1-ORCAMENTO!$O$10)*0.03408</f>
        <v>0.03408</v>
      </c>
      <c r="J220" s="222" t="n">
        <f aca="false">(1-ORCAMENTO!$O$10)*0.016848</f>
        <v>0.016848</v>
      </c>
      <c r="K220" s="222" t="n">
        <f aca="false">(1-ORCAMENTO!$O$10)*0.06027</f>
        <v>0.06027</v>
      </c>
      <c r="L220" s="222" t="n">
        <f aca="false">(1-ORCAMENTO!$O$10)*0</f>
        <v>0</v>
      </c>
      <c r="M220" s="222" t="n">
        <f aca="false">(1-ORCAMENTO!$O$10)*0</f>
        <v>0</v>
      </c>
      <c r="N220" s="150"/>
      <c r="O220" s="150"/>
      <c r="P220" s="150"/>
      <c r="Q220" s="150"/>
      <c r="R220" s="150"/>
      <c r="S220" s="150"/>
      <c r="T220" s="150"/>
      <c r="U220" s="150"/>
      <c r="V220" s="150"/>
      <c r="W220" s="150"/>
      <c r="X220" s="150"/>
      <c r="Y220" s="150"/>
      <c r="Z220" s="150"/>
    </row>
    <row r="221" customFormat="false" ht="14.25" hidden="false" customHeight="true" outlineLevel="0" collapsed="false">
      <c r="A221" s="217"/>
      <c r="B221" s="217"/>
      <c r="C221" s="228"/>
      <c r="D221" s="218"/>
      <c r="E221" s="219"/>
      <c r="F221" s="220"/>
      <c r="G221" s="221"/>
      <c r="H221" s="221"/>
      <c r="I221" s="222"/>
      <c r="J221" s="222"/>
      <c r="K221" s="222"/>
      <c r="L221" s="222"/>
      <c r="M221" s="222"/>
      <c r="N221" s="150"/>
      <c r="O221" s="150"/>
      <c r="P221" s="150"/>
      <c r="Q221" s="150"/>
      <c r="R221" s="150"/>
      <c r="S221" s="150"/>
      <c r="T221" s="150"/>
      <c r="U221" s="150"/>
      <c r="V221" s="150"/>
      <c r="W221" s="150"/>
      <c r="X221" s="150"/>
      <c r="Y221" s="150"/>
      <c r="Z221" s="150"/>
    </row>
    <row r="222" customFormat="false" ht="14.25" hidden="false" customHeight="true" outlineLevel="0" collapsed="false">
      <c r="A222" s="223" t="s">
        <v>157</v>
      </c>
      <c r="B222" s="160" t="s">
        <v>51</v>
      </c>
      <c r="C222" s="223"/>
      <c r="D222" s="224" t="s">
        <v>158</v>
      </c>
      <c r="E222" s="159" t="s">
        <v>54</v>
      </c>
      <c r="F222" s="225"/>
      <c r="G222" s="226"/>
      <c r="H222" s="226" t="n">
        <f aca="false">SUM($I$222:$M$222)</f>
        <v>55.75</v>
      </c>
      <c r="I222" s="227" t="n">
        <f aca="false">ROUND((1-ORCAMENTO!$O$10)*38.29,2)</f>
        <v>38.29</v>
      </c>
      <c r="J222" s="227" t="n">
        <f aca="false">ROUND((1-ORCAMENTO!$O$10)*17.46,2)</f>
        <v>17.46</v>
      </c>
      <c r="K222" s="227" t="n">
        <f aca="false">ROUND((1-ORCAMENTO!$O$10)*0,2)</f>
        <v>0</v>
      </c>
      <c r="L222" s="227" t="n">
        <f aca="false">ROUND((1-ORCAMENTO!$O$10)*0,2)</f>
        <v>0</v>
      </c>
      <c r="M222" s="227" t="n">
        <f aca="false">ROUND((1-ORCAMENTO!$O$10)*0,2)</f>
        <v>0</v>
      </c>
      <c r="N222" s="150"/>
      <c r="O222" s="150"/>
      <c r="P222" s="150"/>
      <c r="Q222" s="150"/>
      <c r="R222" s="150"/>
      <c r="S222" s="150"/>
      <c r="T222" s="150"/>
      <c r="U222" s="150"/>
      <c r="V222" s="150"/>
      <c r="W222" s="150"/>
      <c r="X222" s="150"/>
      <c r="Y222" s="150"/>
      <c r="Z222" s="150"/>
    </row>
    <row r="223" customFormat="false" ht="14.25" hidden="false" customHeight="true" outlineLevel="0" collapsed="false">
      <c r="A223" s="217" t="s">
        <v>341</v>
      </c>
      <c r="B223" s="217" t="s">
        <v>383</v>
      </c>
      <c r="C223" s="228" t="s">
        <v>534</v>
      </c>
      <c r="D223" s="218" t="s">
        <v>535</v>
      </c>
      <c r="E223" s="219" t="s">
        <v>54</v>
      </c>
      <c r="F223" s="220" t="n">
        <v>4</v>
      </c>
      <c r="G223" s="221" t="n">
        <f aca="false">ROUND((1-ORCAMENTO!$O$10)*7.83,2)</f>
        <v>7.83</v>
      </c>
      <c r="H223" s="221" t="n">
        <f aca="false">(1-ORCAMENTO!$O$10)*31.32</f>
        <v>31.32</v>
      </c>
      <c r="I223" s="222" t="n">
        <f aca="false">(1-ORCAMENTO!$O$10)*31.32</f>
        <v>31.32</v>
      </c>
      <c r="J223" s="222" t="n">
        <f aca="false">(1-ORCAMENTO!$O$10)*0</f>
        <v>0</v>
      </c>
      <c r="K223" s="222" t="n">
        <f aca="false">(1-ORCAMENTO!$O$10)*0</f>
        <v>0</v>
      </c>
      <c r="L223" s="222" t="n">
        <f aca="false">(1-ORCAMENTO!$O$10)*0</f>
        <v>0</v>
      </c>
      <c r="M223" s="222" t="n">
        <f aca="false">(1-ORCAMENTO!$O$10)*0</f>
        <v>0</v>
      </c>
      <c r="N223" s="150"/>
      <c r="O223" s="150"/>
      <c r="P223" s="150"/>
      <c r="Q223" s="150"/>
      <c r="R223" s="150"/>
      <c r="S223" s="150"/>
      <c r="T223" s="150"/>
      <c r="U223" s="150"/>
      <c r="V223" s="150"/>
      <c r="W223" s="150"/>
      <c r="X223" s="150"/>
      <c r="Y223" s="150"/>
      <c r="Z223" s="150"/>
    </row>
    <row r="224" customFormat="false" ht="14.25" hidden="false" customHeight="true" outlineLevel="0" collapsed="false">
      <c r="A224" s="228" t="s">
        <v>341</v>
      </c>
      <c r="B224" s="217" t="s">
        <v>383</v>
      </c>
      <c r="C224" s="228" t="s">
        <v>536</v>
      </c>
      <c r="D224" s="218" t="s">
        <v>537</v>
      </c>
      <c r="E224" s="219" t="s">
        <v>54</v>
      </c>
      <c r="F224" s="220" t="n">
        <v>4</v>
      </c>
      <c r="G224" s="221" t="n">
        <f aca="false">ROUND((1-ORCAMENTO!$O$10)*0.22,2)</f>
        <v>0.22</v>
      </c>
      <c r="H224" s="221" t="n">
        <f aca="false">(1-ORCAMENTO!$O$10)*0.88</f>
        <v>0.88</v>
      </c>
      <c r="I224" s="222" t="n">
        <f aca="false">(1-ORCAMENTO!$O$10)*0.88</f>
        <v>0.88</v>
      </c>
      <c r="J224" s="222" t="n">
        <f aca="false">(1-ORCAMENTO!$O$10)*0</f>
        <v>0</v>
      </c>
      <c r="K224" s="222" t="n">
        <f aca="false">(1-ORCAMENTO!$O$10)*0</f>
        <v>0</v>
      </c>
      <c r="L224" s="222" t="n">
        <f aca="false">(1-ORCAMENTO!$O$10)*0</f>
        <v>0</v>
      </c>
      <c r="M224" s="222" t="n">
        <f aca="false">(1-ORCAMENTO!$O$10)*0</f>
        <v>0</v>
      </c>
      <c r="N224" s="150"/>
      <c r="O224" s="150"/>
      <c r="P224" s="150"/>
      <c r="Q224" s="150"/>
      <c r="R224" s="150"/>
      <c r="S224" s="150"/>
      <c r="T224" s="150"/>
      <c r="U224" s="150"/>
      <c r="V224" s="150"/>
      <c r="W224" s="150"/>
      <c r="X224" s="150"/>
      <c r="Y224" s="150"/>
      <c r="Z224" s="150"/>
    </row>
    <row r="225" customFormat="false" ht="14.25" hidden="false" customHeight="true" outlineLevel="0" collapsed="false">
      <c r="A225" s="228" t="s">
        <v>341</v>
      </c>
      <c r="B225" s="217" t="s">
        <v>69</v>
      </c>
      <c r="C225" s="228" t="s">
        <v>348</v>
      </c>
      <c r="D225" s="218" t="s">
        <v>349</v>
      </c>
      <c r="E225" s="219" t="s">
        <v>71</v>
      </c>
      <c r="F225" s="220" t="n">
        <v>0.75</v>
      </c>
      <c r="G225" s="221" t="n">
        <f aca="false">ROUND((1-ORCAMENTO!$O$10)*25.12,2)</f>
        <v>25.12</v>
      </c>
      <c r="H225" s="221" t="n">
        <f aca="false">(1-ORCAMENTO!$O$10)*18.84</f>
        <v>18.84</v>
      </c>
      <c r="I225" s="222" t="n">
        <f aca="false">(1-ORCAMENTO!$O$10)*5.775</f>
        <v>5.775</v>
      </c>
      <c r="J225" s="222" t="n">
        <f aca="false">(1-ORCAMENTO!$O$10)*13.065</f>
        <v>13.065</v>
      </c>
      <c r="K225" s="222" t="n">
        <f aca="false">(1-ORCAMENTO!$O$10)*0</f>
        <v>0</v>
      </c>
      <c r="L225" s="222" t="n">
        <f aca="false">(1-ORCAMENTO!$O$10)*0</f>
        <v>0</v>
      </c>
      <c r="M225" s="222" t="n">
        <f aca="false">(1-ORCAMENTO!$O$10)*0</f>
        <v>0</v>
      </c>
      <c r="N225" s="150"/>
      <c r="O225" s="150"/>
      <c r="P225" s="150"/>
      <c r="Q225" s="150"/>
      <c r="R225" s="150"/>
      <c r="S225" s="150"/>
      <c r="T225" s="150"/>
      <c r="U225" s="150"/>
      <c r="V225" s="150"/>
      <c r="W225" s="150"/>
      <c r="X225" s="150"/>
      <c r="Y225" s="150"/>
      <c r="Z225" s="150"/>
    </row>
    <row r="226" customFormat="false" ht="14.25" hidden="false" customHeight="true" outlineLevel="0" collapsed="false">
      <c r="A226" s="228" t="s">
        <v>341</v>
      </c>
      <c r="B226" s="217" t="s">
        <v>69</v>
      </c>
      <c r="C226" s="228" t="s">
        <v>428</v>
      </c>
      <c r="D226" s="218" t="s">
        <v>73</v>
      </c>
      <c r="E226" s="219" t="s">
        <v>71</v>
      </c>
      <c r="F226" s="220" t="n">
        <v>0.125</v>
      </c>
      <c r="G226" s="221" t="n">
        <f aca="false">ROUND((1-ORCAMENTO!$O$10)*37.66,2)</f>
        <v>37.66</v>
      </c>
      <c r="H226" s="221" t="n">
        <f aca="false">(1-ORCAMENTO!$O$10)*4.7075</f>
        <v>4.7075</v>
      </c>
      <c r="I226" s="222" t="n">
        <f aca="false">(1-ORCAMENTO!$O$10)*0.31125</f>
        <v>0.31125</v>
      </c>
      <c r="J226" s="222" t="n">
        <f aca="false">(1-ORCAMENTO!$O$10)*4.39625</f>
        <v>4.39625</v>
      </c>
      <c r="K226" s="222" t="n">
        <f aca="false">(1-ORCAMENTO!$O$10)*0</f>
        <v>0</v>
      </c>
      <c r="L226" s="222" t="n">
        <f aca="false">(1-ORCAMENTO!$O$10)*0</f>
        <v>0</v>
      </c>
      <c r="M226" s="222" t="n">
        <f aca="false">(1-ORCAMENTO!$O$10)*0</f>
        <v>0</v>
      </c>
      <c r="N226" s="150"/>
      <c r="O226" s="150"/>
      <c r="P226" s="150"/>
      <c r="Q226" s="150"/>
      <c r="R226" s="150"/>
      <c r="S226" s="150"/>
      <c r="T226" s="150"/>
      <c r="U226" s="150"/>
      <c r="V226" s="150"/>
      <c r="W226" s="150"/>
      <c r="X226" s="150"/>
      <c r="Y226" s="150"/>
      <c r="Z226" s="150"/>
    </row>
    <row r="227" customFormat="false" ht="14.25" hidden="false" customHeight="true" outlineLevel="0" collapsed="false">
      <c r="A227" s="217"/>
      <c r="B227" s="217"/>
      <c r="C227" s="228"/>
      <c r="D227" s="218"/>
      <c r="E227" s="219"/>
      <c r="F227" s="220"/>
      <c r="G227" s="221"/>
      <c r="H227" s="221"/>
      <c r="I227" s="222"/>
      <c r="J227" s="222"/>
      <c r="K227" s="222"/>
      <c r="L227" s="222"/>
      <c r="M227" s="222"/>
      <c r="N227" s="150"/>
      <c r="O227" s="150"/>
      <c r="P227" s="150"/>
      <c r="Q227" s="150"/>
      <c r="R227" s="150"/>
      <c r="S227" s="150"/>
      <c r="T227" s="150"/>
      <c r="U227" s="150"/>
      <c r="V227" s="150"/>
      <c r="W227" s="150"/>
      <c r="X227" s="150"/>
      <c r="Y227" s="150"/>
      <c r="Z227" s="150"/>
    </row>
    <row r="228" customFormat="false" ht="14.25" hidden="false" customHeight="true" outlineLevel="0" collapsed="false">
      <c r="A228" s="223" t="s">
        <v>160</v>
      </c>
      <c r="B228" s="160" t="s">
        <v>51</v>
      </c>
      <c r="C228" s="223"/>
      <c r="D228" s="224" t="s">
        <v>161</v>
      </c>
      <c r="E228" s="159" t="s">
        <v>62</v>
      </c>
      <c r="F228" s="225"/>
      <c r="G228" s="226"/>
      <c r="H228" s="226" t="n">
        <f aca="false">SUM($I$228:$M$228)</f>
        <v>577.5</v>
      </c>
      <c r="I228" s="227" t="n">
        <f aca="false">ROUND((1-ORCAMENTO!$O$10)*577.5,2)</f>
        <v>577.5</v>
      </c>
      <c r="J228" s="227" t="n">
        <f aca="false">ROUND((1-ORCAMENTO!$O$10)*0,2)</f>
        <v>0</v>
      </c>
      <c r="K228" s="227" t="n">
        <f aca="false">ROUND((1-ORCAMENTO!$O$10)*0,2)</f>
        <v>0</v>
      </c>
      <c r="L228" s="227" t="n">
        <f aca="false">ROUND((1-ORCAMENTO!$O$10)*0,2)</f>
        <v>0</v>
      </c>
      <c r="M228" s="227" t="n">
        <f aca="false">ROUND((1-ORCAMENTO!$O$10)*0,2)</f>
        <v>0</v>
      </c>
      <c r="N228" s="150"/>
      <c r="O228" s="150"/>
      <c r="P228" s="150"/>
      <c r="Q228" s="150"/>
      <c r="R228" s="150"/>
      <c r="S228" s="150"/>
      <c r="T228" s="150"/>
      <c r="U228" s="150"/>
      <c r="V228" s="150"/>
      <c r="W228" s="150"/>
      <c r="X228" s="150"/>
      <c r="Y228" s="150"/>
      <c r="Z228" s="150"/>
    </row>
    <row r="229" customFormat="false" ht="14.25" hidden="false" customHeight="true" outlineLevel="0" collapsed="false">
      <c r="A229" s="228" t="s">
        <v>341</v>
      </c>
      <c r="B229" s="217" t="s">
        <v>383</v>
      </c>
      <c r="C229" s="228" t="s">
        <v>538</v>
      </c>
      <c r="D229" s="218" t="s">
        <v>539</v>
      </c>
      <c r="E229" s="219" t="s">
        <v>62</v>
      </c>
      <c r="F229" s="220" t="n">
        <v>1</v>
      </c>
      <c r="G229" s="221" t="n">
        <f aca="false">ROUND((1-ORCAMENTO!$O$10)*577.5,2)</f>
        <v>577.5</v>
      </c>
      <c r="H229" s="221" t="n">
        <f aca="false">(1-ORCAMENTO!$O$10)*577.5</f>
        <v>577.5</v>
      </c>
      <c r="I229" s="222" t="n">
        <f aca="false">(1-ORCAMENTO!$O$10)*577.5</f>
        <v>577.5</v>
      </c>
      <c r="J229" s="222" t="n">
        <f aca="false">(1-ORCAMENTO!$O$10)*0</f>
        <v>0</v>
      </c>
      <c r="K229" s="222" t="n">
        <f aca="false">(1-ORCAMENTO!$O$10)*0</f>
        <v>0</v>
      </c>
      <c r="L229" s="222" t="n">
        <f aca="false">(1-ORCAMENTO!$O$10)*0</f>
        <v>0</v>
      </c>
      <c r="M229" s="222" t="n">
        <f aca="false">(1-ORCAMENTO!$O$10)*0</f>
        <v>0</v>
      </c>
      <c r="N229" s="150"/>
      <c r="O229" s="150"/>
      <c r="P229" s="150"/>
      <c r="Q229" s="150"/>
      <c r="R229" s="150"/>
      <c r="S229" s="150"/>
      <c r="T229" s="150"/>
      <c r="U229" s="150"/>
      <c r="V229" s="150"/>
      <c r="W229" s="150"/>
      <c r="X229" s="150"/>
      <c r="Y229" s="150"/>
      <c r="Z229" s="150"/>
    </row>
    <row r="230" customFormat="false" ht="14.25" hidden="false" customHeight="true" outlineLevel="0" collapsed="false">
      <c r="A230" s="228"/>
      <c r="B230" s="217"/>
      <c r="C230" s="228"/>
      <c r="D230" s="218"/>
      <c r="E230" s="219"/>
      <c r="F230" s="220"/>
      <c r="G230" s="221"/>
      <c r="H230" s="221"/>
      <c r="I230" s="222"/>
      <c r="J230" s="222"/>
      <c r="K230" s="222"/>
      <c r="L230" s="222"/>
      <c r="M230" s="222"/>
      <c r="N230" s="150"/>
      <c r="O230" s="150"/>
      <c r="P230" s="150"/>
      <c r="Q230" s="150"/>
      <c r="R230" s="150"/>
      <c r="S230" s="150"/>
      <c r="T230" s="150"/>
      <c r="U230" s="150"/>
      <c r="V230" s="150"/>
      <c r="W230" s="150"/>
      <c r="X230" s="150"/>
      <c r="Y230" s="150"/>
      <c r="Z230" s="150"/>
    </row>
    <row r="231" customFormat="false" ht="14.25" hidden="false" customHeight="true" outlineLevel="0" collapsed="false">
      <c r="A231" s="223" t="s">
        <v>540</v>
      </c>
      <c r="B231" s="160" t="s">
        <v>51</v>
      </c>
      <c r="C231" s="223"/>
      <c r="D231" s="224" t="s">
        <v>541</v>
      </c>
      <c r="E231" s="159" t="s">
        <v>85</v>
      </c>
      <c r="F231" s="225"/>
      <c r="G231" s="226"/>
      <c r="H231" s="226" t="n">
        <f aca="false">SUM($I$231:$M$231)</f>
        <v>556.4</v>
      </c>
      <c r="I231" s="227" t="n">
        <f aca="false">ROUND((1-ORCAMENTO!$O$10)*535.08,2)</f>
        <v>535.08</v>
      </c>
      <c r="J231" s="227" t="n">
        <f aca="false">ROUND((1-ORCAMENTO!$O$10)*21.22,2)</f>
        <v>21.22</v>
      </c>
      <c r="K231" s="227" t="n">
        <f aca="false">ROUND((1-ORCAMENTO!$O$10)*0.08,2)</f>
        <v>0.08</v>
      </c>
      <c r="L231" s="227" t="n">
        <f aca="false">ROUND((1-ORCAMENTO!$O$10)*0,2)</f>
        <v>0</v>
      </c>
      <c r="M231" s="227" t="n">
        <f aca="false">ROUND((1-ORCAMENTO!$O$10)*0.02,2)</f>
        <v>0.02</v>
      </c>
      <c r="N231" s="150"/>
      <c r="O231" s="150"/>
      <c r="P231" s="150"/>
      <c r="Q231" s="150"/>
      <c r="R231" s="150"/>
      <c r="S231" s="150"/>
      <c r="T231" s="150"/>
      <c r="U231" s="150"/>
      <c r="V231" s="150"/>
      <c r="W231" s="150"/>
      <c r="X231" s="150"/>
      <c r="Y231" s="150"/>
      <c r="Z231" s="150"/>
    </row>
    <row r="232" customFormat="false" ht="14.25" hidden="false" customHeight="true" outlineLevel="0" collapsed="false">
      <c r="A232" s="228" t="s">
        <v>341</v>
      </c>
      <c r="B232" s="217" t="s">
        <v>383</v>
      </c>
      <c r="C232" s="228" t="s">
        <v>542</v>
      </c>
      <c r="D232" s="218" t="s">
        <v>543</v>
      </c>
      <c r="E232" s="219" t="s">
        <v>85</v>
      </c>
      <c r="F232" s="220" t="n">
        <v>1.163</v>
      </c>
      <c r="G232" s="221" t="n">
        <f aca="false">ROUND((1-ORCAMENTO!$O$10)*453.34,2)</f>
        <v>453.34</v>
      </c>
      <c r="H232" s="221" t="n">
        <f aca="false">(1-ORCAMENTO!$O$10)*527.23442</f>
        <v>527.23442</v>
      </c>
      <c r="I232" s="222" t="n">
        <f aca="false">(1-ORCAMENTO!$O$10)*527.23442</f>
        <v>527.23442</v>
      </c>
      <c r="J232" s="222" t="n">
        <f aca="false">(1-ORCAMENTO!$O$10)*0</f>
        <v>0</v>
      </c>
      <c r="K232" s="222" t="n">
        <f aca="false">(1-ORCAMENTO!$O$10)*0</f>
        <v>0</v>
      </c>
      <c r="L232" s="222" t="n">
        <f aca="false">(1-ORCAMENTO!$O$10)*0</f>
        <v>0</v>
      </c>
      <c r="M232" s="222" t="n">
        <f aca="false">(1-ORCAMENTO!$O$10)*0</f>
        <v>0</v>
      </c>
      <c r="N232" s="150"/>
      <c r="O232" s="150"/>
      <c r="P232" s="150"/>
      <c r="Q232" s="150"/>
      <c r="R232" s="150"/>
      <c r="S232" s="150"/>
      <c r="T232" s="150"/>
      <c r="U232" s="150"/>
      <c r="V232" s="150"/>
      <c r="W232" s="150"/>
      <c r="X232" s="150"/>
      <c r="Y232" s="150"/>
      <c r="Z232" s="150"/>
    </row>
    <row r="233" customFormat="false" ht="14.25" hidden="false" customHeight="true" outlineLevel="0" collapsed="false">
      <c r="A233" s="228" t="s">
        <v>341</v>
      </c>
      <c r="B233" s="217" t="s">
        <v>69</v>
      </c>
      <c r="C233" s="228" t="s">
        <v>399</v>
      </c>
      <c r="D233" s="218" t="s">
        <v>400</v>
      </c>
      <c r="E233" s="219" t="s">
        <v>71</v>
      </c>
      <c r="F233" s="220" t="n">
        <v>0.504</v>
      </c>
      <c r="G233" s="221" t="n">
        <f aca="false">ROUND((1-ORCAMENTO!$O$10)*32.55,2)</f>
        <v>32.55</v>
      </c>
      <c r="H233" s="221" t="n">
        <f aca="false">(1-ORCAMENTO!$O$10)*16.4052</f>
        <v>16.4052</v>
      </c>
      <c r="I233" s="222" t="n">
        <f aca="false">(1-ORCAMENTO!$O$10)*3.96648</f>
        <v>3.96648</v>
      </c>
      <c r="J233" s="222" t="n">
        <f aca="false">(1-ORCAMENTO!$O$10)*12.43872</f>
        <v>12.43872</v>
      </c>
      <c r="K233" s="222" t="n">
        <f aca="false">(1-ORCAMENTO!$O$10)*0</f>
        <v>0</v>
      </c>
      <c r="L233" s="222" t="n">
        <f aca="false">(1-ORCAMENTO!$O$10)*0</f>
        <v>0</v>
      </c>
      <c r="M233" s="222" t="n">
        <f aca="false">(1-ORCAMENTO!$O$10)*0</f>
        <v>0</v>
      </c>
      <c r="N233" s="150"/>
      <c r="O233" s="150"/>
      <c r="P233" s="150"/>
      <c r="Q233" s="150"/>
      <c r="R233" s="150"/>
      <c r="S233" s="150"/>
      <c r="T233" s="150"/>
      <c r="U233" s="150"/>
      <c r="V233" s="150"/>
      <c r="W233" s="150"/>
      <c r="X233" s="150"/>
      <c r="Y233" s="150"/>
      <c r="Z233" s="150"/>
    </row>
    <row r="234" customFormat="false" ht="14.25" hidden="false" customHeight="true" outlineLevel="0" collapsed="false">
      <c r="A234" s="228" t="s">
        <v>341</v>
      </c>
      <c r="B234" s="217" t="s">
        <v>69</v>
      </c>
      <c r="C234" s="228" t="s">
        <v>348</v>
      </c>
      <c r="D234" s="218" t="s">
        <v>349</v>
      </c>
      <c r="E234" s="219" t="s">
        <v>71</v>
      </c>
      <c r="F234" s="220" t="n">
        <v>0.504</v>
      </c>
      <c r="G234" s="221" t="n">
        <f aca="false">ROUND((1-ORCAMENTO!$O$10)*25.12,2)</f>
        <v>25.12</v>
      </c>
      <c r="H234" s="221" t="n">
        <f aca="false">(1-ORCAMENTO!$O$10)*12.66048</f>
        <v>12.66048</v>
      </c>
      <c r="I234" s="222" t="n">
        <f aca="false">(1-ORCAMENTO!$O$10)*3.8808</f>
        <v>3.8808</v>
      </c>
      <c r="J234" s="222" t="n">
        <f aca="false">(1-ORCAMENTO!$O$10)*8.77968</f>
        <v>8.77968</v>
      </c>
      <c r="K234" s="222" t="n">
        <f aca="false">(1-ORCAMENTO!$O$10)*0</f>
        <v>0</v>
      </c>
      <c r="L234" s="222" t="n">
        <f aca="false">(1-ORCAMENTO!$O$10)*0</f>
        <v>0</v>
      </c>
      <c r="M234" s="222" t="n">
        <f aca="false">(1-ORCAMENTO!$O$10)*0</f>
        <v>0</v>
      </c>
      <c r="N234" s="150"/>
      <c r="O234" s="150"/>
      <c r="P234" s="150"/>
      <c r="Q234" s="150"/>
      <c r="R234" s="150"/>
      <c r="S234" s="150"/>
      <c r="T234" s="150"/>
      <c r="U234" s="150"/>
      <c r="V234" s="150"/>
      <c r="W234" s="150"/>
      <c r="X234" s="150"/>
      <c r="Y234" s="150"/>
      <c r="Z234" s="150"/>
    </row>
    <row r="235" customFormat="false" ht="14.25" hidden="false" customHeight="true" outlineLevel="0" collapsed="false">
      <c r="A235" s="228" t="s">
        <v>341</v>
      </c>
      <c r="B235" s="217" t="s">
        <v>69</v>
      </c>
      <c r="C235" s="228" t="s">
        <v>406</v>
      </c>
      <c r="D235" s="218" t="s">
        <v>407</v>
      </c>
      <c r="E235" s="219" t="s">
        <v>344</v>
      </c>
      <c r="F235" s="220" t="n">
        <v>0.066</v>
      </c>
      <c r="G235" s="221" t="n">
        <f aca="false">ROUND((1-ORCAMENTO!$O$10)*1.11,2)</f>
        <v>1.11</v>
      </c>
      <c r="H235" s="221" t="n">
        <f aca="false">(1-ORCAMENTO!$O$10)*0.07326</f>
        <v>0.07326</v>
      </c>
      <c r="I235" s="222" t="n">
        <f aca="false">(1-ORCAMENTO!$O$10)*0</f>
        <v>0</v>
      </c>
      <c r="J235" s="222" t="n">
        <f aca="false">(1-ORCAMENTO!$O$10)*0</f>
        <v>0</v>
      </c>
      <c r="K235" s="222" t="n">
        <f aca="false">(1-ORCAMENTO!$O$10)*0.0495</f>
        <v>0.0495</v>
      </c>
      <c r="L235" s="222" t="n">
        <f aca="false">(1-ORCAMENTO!$O$10)*0</f>
        <v>0</v>
      </c>
      <c r="M235" s="222" t="n">
        <f aca="false">(1-ORCAMENTO!$O$10)*0.02376</f>
        <v>0.02376</v>
      </c>
      <c r="N235" s="150"/>
      <c r="O235" s="150"/>
      <c r="P235" s="150"/>
      <c r="Q235" s="150"/>
      <c r="R235" s="150"/>
      <c r="S235" s="150"/>
      <c r="T235" s="150"/>
      <c r="U235" s="150"/>
      <c r="V235" s="150"/>
      <c r="W235" s="150"/>
      <c r="X235" s="150"/>
      <c r="Y235" s="150"/>
      <c r="Z235" s="150"/>
    </row>
    <row r="236" customFormat="false" ht="14.25" hidden="false" customHeight="true" outlineLevel="0" collapsed="false">
      <c r="A236" s="217" t="s">
        <v>341</v>
      </c>
      <c r="B236" s="217" t="s">
        <v>69</v>
      </c>
      <c r="C236" s="228" t="s">
        <v>408</v>
      </c>
      <c r="D236" s="218" t="s">
        <v>409</v>
      </c>
      <c r="E236" s="219" t="s">
        <v>347</v>
      </c>
      <c r="F236" s="220" t="n">
        <v>0.066</v>
      </c>
      <c r="G236" s="221" t="n">
        <f aca="false">ROUND((1-ORCAMENTO!$O$10)*0.44,2)</f>
        <v>0.44</v>
      </c>
      <c r="H236" s="221" t="n">
        <f aca="false">(1-ORCAMENTO!$O$10)*0.02904</f>
        <v>0.02904</v>
      </c>
      <c r="I236" s="222" t="n">
        <f aca="false">(1-ORCAMENTO!$O$10)*0</f>
        <v>0</v>
      </c>
      <c r="J236" s="222" t="n">
        <f aca="false">(1-ORCAMENTO!$O$10)*0</f>
        <v>0</v>
      </c>
      <c r="K236" s="222" t="n">
        <f aca="false">(1-ORCAMENTO!$O$10)*0.02904</f>
        <v>0.02904</v>
      </c>
      <c r="L236" s="222" t="n">
        <f aca="false">(1-ORCAMENTO!$O$10)*0</f>
        <v>0</v>
      </c>
      <c r="M236" s="222" t="n">
        <f aca="false">(1-ORCAMENTO!$O$10)*0</f>
        <v>0</v>
      </c>
      <c r="N236" s="150"/>
      <c r="O236" s="150"/>
      <c r="P236" s="150"/>
      <c r="Q236" s="150"/>
      <c r="R236" s="150"/>
      <c r="S236" s="150"/>
      <c r="T236" s="150"/>
      <c r="U236" s="150"/>
      <c r="V236" s="150"/>
      <c r="W236" s="150"/>
      <c r="X236" s="150"/>
      <c r="Y236" s="150"/>
      <c r="Z236" s="150"/>
    </row>
    <row r="237" customFormat="false" ht="14.25" hidden="false" customHeight="true" outlineLevel="0" collapsed="false">
      <c r="A237" s="228"/>
      <c r="B237" s="217"/>
      <c r="C237" s="228"/>
      <c r="D237" s="218"/>
      <c r="E237" s="219"/>
      <c r="F237" s="220"/>
      <c r="G237" s="221"/>
      <c r="H237" s="221"/>
      <c r="I237" s="222"/>
      <c r="J237" s="222"/>
      <c r="K237" s="222"/>
      <c r="L237" s="222"/>
      <c r="M237" s="222"/>
      <c r="N237" s="150"/>
      <c r="O237" s="150"/>
      <c r="P237" s="150"/>
      <c r="Q237" s="150"/>
      <c r="R237" s="150"/>
      <c r="S237" s="150"/>
      <c r="T237" s="150"/>
      <c r="U237" s="150"/>
      <c r="V237" s="150"/>
      <c r="W237" s="150"/>
      <c r="X237" s="150"/>
      <c r="Y237" s="150"/>
      <c r="Z237" s="150"/>
    </row>
    <row r="238" customFormat="false" ht="14.25" hidden="false" customHeight="true" outlineLevel="0" collapsed="false">
      <c r="A238" s="223" t="s">
        <v>129</v>
      </c>
      <c r="B238" s="160" t="s">
        <v>51</v>
      </c>
      <c r="C238" s="223"/>
      <c r="D238" s="224" t="s">
        <v>130</v>
      </c>
      <c r="E238" s="159" t="s">
        <v>62</v>
      </c>
      <c r="F238" s="225"/>
      <c r="G238" s="226"/>
      <c r="H238" s="226" t="n">
        <f aca="false">SUM($I$238:$M$238)</f>
        <v>90.38</v>
      </c>
      <c r="I238" s="227" t="n">
        <f aca="false">ROUND((1-ORCAMENTO!$O$10)*62.45,2)</f>
        <v>62.45</v>
      </c>
      <c r="J238" s="227" t="n">
        <f aca="false">ROUND((1-ORCAMENTO!$O$10)*25.79,2)</f>
        <v>25.79</v>
      </c>
      <c r="K238" s="227" t="n">
        <f aca="false">ROUND((1-ORCAMENTO!$O$10)*0.72,2)</f>
        <v>0.72</v>
      </c>
      <c r="L238" s="227" t="n">
        <f aca="false">ROUND((1-ORCAMENTO!$O$10)*0,2)</f>
        <v>0</v>
      </c>
      <c r="M238" s="227" t="n">
        <f aca="false">ROUND((1-ORCAMENTO!$O$10)*1.42,2)</f>
        <v>1.42</v>
      </c>
      <c r="N238" s="150"/>
      <c r="O238" s="150"/>
      <c r="P238" s="150"/>
      <c r="Q238" s="150"/>
      <c r="R238" s="150"/>
      <c r="S238" s="150"/>
      <c r="T238" s="150"/>
      <c r="U238" s="150"/>
      <c r="V238" s="150"/>
      <c r="W238" s="150"/>
      <c r="X238" s="150"/>
      <c r="Y238" s="150"/>
      <c r="Z238" s="150"/>
    </row>
    <row r="239" customFormat="false" ht="14.25" hidden="false" customHeight="true" outlineLevel="0" collapsed="false">
      <c r="A239" s="228" t="s">
        <v>341</v>
      </c>
      <c r="B239" s="217" t="s">
        <v>51</v>
      </c>
      <c r="C239" s="228" t="s">
        <v>540</v>
      </c>
      <c r="D239" s="218" t="s">
        <v>541</v>
      </c>
      <c r="E239" s="219" t="s">
        <v>85</v>
      </c>
      <c r="F239" s="220" t="n">
        <v>0.1</v>
      </c>
      <c r="G239" s="221" t="n">
        <f aca="false">ROUND((1-ORCAMENTO!$O$10)*556.4,2)</f>
        <v>556.4</v>
      </c>
      <c r="H239" s="221" t="n">
        <f aca="false">(1-ORCAMENTO!$O$10)*55.64</f>
        <v>55.64</v>
      </c>
      <c r="I239" s="222" t="n">
        <f aca="false">(1-ORCAMENTO!$O$10)*53.508</f>
        <v>53.508</v>
      </c>
      <c r="J239" s="222" t="n">
        <f aca="false">(1-ORCAMENTO!$O$10)*2.122</f>
        <v>2.122</v>
      </c>
      <c r="K239" s="222" t="n">
        <f aca="false">(1-ORCAMENTO!$O$10)*0.008</f>
        <v>0.008</v>
      </c>
      <c r="L239" s="222" t="n">
        <f aca="false">(1-ORCAMENTO!$O$10)*0</f>
        <v>0</v>
      </c>
      <c r="M239" s="222" t="n">
        <f aca="false">(1-ORCAMENTO!$O$10)*0.002</f>
        <v>0.002</v>
      </c>
      <c r="N239" s="150"/>
      <c r="O239" s="150"/>
      <c r="P239" s="150"/>
      <c r="Q239" s="150"/>
      <c r="R239" s="150"/>
      <c r="S239" s="150"/>
      <c r="T239" s="150"/>
      <c r="U239" s="150"/>
      <c r="V239" s="150"/>
      <c r="W239" s="150"/>
      <c r="X239" s="150"/>
      <c r="Y239" s="150"/>
      <c r="Z239" s="150"/>
    </row>
    <row r="240" customFormat="false" ht="14.25" hidden="false" customHeight="true" outlineLevel="0" collapsed="false">
      <c r="A240" s="228" t="s">
        <v>341</v>
      </c>
      <c r="B240" s="217" t="s">
        <v>69</v>
      </c>
      <c r="C240" s="228" t="s">
        <v>544</v>
      </c>
      <c r="D240" s="218" t="s">
        <v>545</v>
      </c>
      <c r="E240" s="219" t="s">
        <v>344</v>
      </c>
      <c r="F240" s="220" t="n">
        <v>0.8</v>
      </c>
      <c r="G240" s="221" t="n">
        <f aca="false">ROUND((1-ORCAMENTO!$O$10)*2.66,2)</f>
        <v>2.66</v>
      </c>
      <c r="H240" s="221" t="n">
        <f aca="false">(1-ORCAMENTO!$O$10)*2.128</f>
        <v>2.128</v>
      </c>
      <c r="I240" s="222" t="n">
        <f aca="false">(1-ORCAMENTO!$O$10)*0</f>
        <v>0</v>
      </c>
      <c r="J240" s="222" t="n">
        <f aca="false">(1-ORCAMENTO!$O$10)*0</f>
        <v>0</v>
      </c>
      <c r="K240" s="222" t="n">
        <f aca="false">(1-ORCAMENTO!$O$10)*0.712</f>
        <v>0.712</v>
      </c>
      <c r="L240" s="222" t="n">
        <f aca="false">(1-ORCAMENTO!$O$10)*0</f>
        <v>0</v>
      </c>
      <c r="M240" s="222" t="n">
        <f aca="false">(1-ORCAMENTO!$O$10)*1.416</f>
        <v>1.416</v>
      </c>
      <c r="N240" s="150"/>
      <c r="O240" s="150"/>
      <c r="P240" s="150"/>
      <c r="Q240" s="150"/>
      <c r="R240" s="150"/>
      <c r="S240" s="150"/>
      <c r="T240" s="150"/>
      <c r="U240" s="150"/>
      <c r="V240" s="150"/>
      <c r="W240" s="150"/>
      <c r="X240" s="150"/>
      <c r="Y240" s="150"/>
      <c r="Z240" s="150"/>
    </row>
    <row r="241" customFormat="false" ht="14.25" hidden="false" customHeight="true" outlineLevel="0" collapsed="false">
      <c r="A241" s="228" t="s">
        <v>341</v>
      </c>
      <c r="B241" s="217" t="s">
        <v>69</v>
      </c>
      <c r="C241" s="228" t="s">
        <v>399</v>
      </c>
      <c r="D241" s="218" t="s">
        <v>400</v>
      </c>
      <c r="E241" s="219" t="s">
        <v>71</v>
      </c>
      <c r="F241" s="220" t="n">
        <v>0.5</v>
      </c>
      <c r="G241" s="221" t="n">
        <f aca="false">ROUND((1-ORCAMENTO!$O$10)*32.55,2)</f>
        <v>32.55</v>
      </c>
      <c r="H241" s="221" t="n">
        <f aca="false">(1-ORCAMENTO!$O$10)*16.275</f>
        <v>16.275</v>
      </c>
      <c r="I241" s="222" t="n">
        <f aca="false">(1-ORCAMENTO!$O$10)*3.935</f>
        <v>3.935</v>
      </c>
      <c r="J241" s="222" t="n">
        <f aca="false">(1-ORCAMENTO!$O$10)*12.34</f>
        <v>12.34</v>
      </c>
      <c r="K241" s="222" t="n">
        <f aca="false">(1-ORCAMENTO!$O$10)*0</f>
        <v>0</v>
      </c>
      <c r="L241" s="222" t="n">
        <f aca="false">(1-ORCAMENTO!$O$10)*0</f>
        <v>0</v>
      </c>
      <c r="M241" s="222" t="n">
        <f aca="false">(1-ORCAMENTO!$O$10)*0</f>
        <v>0</v>
      </c>
      <c r="N241" s="150"/>
      <c r="O241" s="150"/>
      <c r="P241" s="150"/>
      <c r="Q241" s="150"/>
      <c r="R241" s="150"/>
      <c r="S241" s="150"/>
      <c r="T241" s="150"/>
      <c r="U241" s="150"/>
      <c r="V241" s="150"/>
      <c r="W241" s="150"/>
      <c r="X241" s="150"/>
      <c r="Y241" s="150"/>
      <c r="Z241" s="150"/>
    </row>
    <row r="242" customFormat="false" ht="14.25" hidden="false" customHeight="true" outlineLevel="0" collapsed="false">
      <c r="A242" s="228" t="s">
        <v>341</v>
      </c>
      <c r="B242" s="217" t="s">
        <v>69</v>
      </c>
      <c r="C242" s="228" t="s">
        <v>348</v>
      </c>
      <c r="D242" s="218" t="s">
        <v>349</v>
      </c>
      <c r="E242" s="219" t="s">
        <v>71</v>
      </c>
      <c r="F242" s="220" t="n">
        <v>0.65</v>
      </c>
      <c r="G242" s="221" t="n">
        <f aca="false">ROUND((1-ORCAMENTO!$O$10)*25.12,2)</f>
        <v>25.12</v>
      </c>
      <c r="H242" s="221" t="n">
        <f aca="false">(1-ORCAMENTO!$O$10)*16.328</f>
        <v>16.328</v>
      </c>
      <c r="I242" s="222" t="n">
        <f aca="false">(1-ORCAMENTO!$O$10)*5.005</f>
        <v>5.005</v>
      </c>
      <c r="J242" s="222" t="n">
        <f aca="false">(1-ORCAMENTO!$O$10)*11.323</f>
        <v>11.323</v>
      </c>
      <c r="K242" s="222" t="n">
        <f aca="false">(1-ORCAMENTO!$O$10)*0</f>
        <v>0</v>
      </c>
      <c r="L242" s="222" t="n">
        <f aca="false">(1-ORCAMENTO!$O$10)*0</f>
        <v>0</v>
      </c>
      <c r="M242" s="222" t="n">
        <f aca="false">(1-ORCAMENTO!$O$10)*0</f>
        <v>0</v>
      </c>
      <c r="N242" s="150"/>
      <c r="O242" s="150"/>
      <c r="P242" s="150"/>
      <c r="Q242" s="150"/>
      <c r="R242" s="150"/>
      <c r="S242" s="150"/>
      <c r="T242" s="150"/>
      <c r="U242" s="150"/>
      <c r="V242" s="150"/>
      <c r="W242" s="150"/>
      <c r="X242" s="150"/>
      <c r="Y242" s="150"/>
      <c r="Z242" s="150"/>
    </row>
    <row r="243" customFormat="false" ht="14.25" hidden="false" customHeight="true" outlineLevel="0" collapsed="false">
      <c r="A243" s="228"/>
      <c r="B243" s="217"/>
      <c r="C243" s="228"/>
      <c r="D243" s="218"/>
      <c r="E243" s="219"/>
      <c r="F243" s="220"/>
      <c r="G243" s="221"/>
      <c r="H243" s="221"/>
      <c r="I243" s="222"/>
      <c r="J243" s="222"/>
      <c r="K243" s="222"/>
      <c r="L243" s="222"/>
      <c r="M243" s="222"/>
      <c r="N243" s="150"/>
      <c r="O243" s="150"/>
      <c r="P243" s="150"/>
      <c r="Q243" s="150"/>
      <c r="R243" s="150"/>
      <c r="S243" s="150"/>
      <c r="T243" s="150"/>
      <c r="U243" s="150"/>
      <c r="V243" s="150"/>
      <c r="W243" s="150"/>
      <c r="X243" s="150"/>
      <c r="Y243" s="150"/>
      <c r="Z243" s="150"/>
    </row>
    <row r="244" customFormat="false" ht="14.25" hidden="false" customHeight="true" outlineLevel="0" collapsed="false">
      <c r="A244" s="223" t="s">
        <v>154</v>
      </c>
      <c r="B244" s="160" t="s">
        <v>51</v>
      </c>
      <c r="C244" s="223"/>
      <c r="D244" s="224" t="s">
        <v>155</v>
      </c>
      <c r="E244" s="159" t="s">
        <v>54</v>
      </c>
      <c r="F244" s="225"/>
      <c r="G244" s="226"/>
      <c r="H244" s="226" t="n">
        <f aca="false">SUM($I$244:$M$244)</f>
        <v>246.57</v>
      </c>
      <c r="I244" s="227" t="n">
        <f aca="false">ROUND((1-ORCAMENTO!$O$10)*237.86,2)</f>
        <v>237.86</v>
      </c>
      <c r="J244" s="227" t="n">
        <f aca="false">ROUND((1-ORCAMENTO!$O$10)*8.71,2)</f>
        <v>8.71</v>
      </c>
      <c r="K244" s="227" t="n">
        <f aca="false">ROUND((1-ORCAMENTO!$O$10)*0,2)</f>
        <v>0</v>
      </c>
      <c r="L244" s="227" t="n">
        <f aca="false">ROUND((1-ORCAMENTO!$O$10)*0,2)</f>
        <v>0</v>
      </c>
      <c r="M244" s="227" t="n">
        <f aca="false">ROUND((1-ORCAMENTO!$O$10)*0,2)</f>
        <v>0</v>
      </c>
      <c r="N244" s="150"/>
      <c r="O244" s="150"/>
      <c r="P244" s="150"/>
      <c r="Q244" s="150"/>
      <c r="R244" s="150"/>
      <c r="S244" s="150"/>
      <c r="T244" s="150"/>
      <c r="U244" s="150"/>
      <c r="V244" s="150"/>
      <c r="W244" s="150"/>
      <c r="X244" s="150"/>
      <c r="Y244" s="150"/>
      <c r="Z244" s="150"/>
    </row>
    <row r="245" customFormat="false" ht="14.25" hidden="false" customHeight="true" outlineLevel="0" collapsed="false">
      <c r="A245" s="228" t="s">
        <v>341</v>
      </c>
      <c r="B245" s="217" t="s">
        <v>383</v>
      </c>
      <c r="C245" s="228" t="s">
        <v>546</v>
      </c>
      <c r="D245" s="218" t="s">
        <v>547</v>
      </c>
      <c r="E245" s="219" t="s">
        <v>106</v>
      </c>
      <c r="F245" s="220" t="n">
        <v>3.5</v>
      </c>
      <c r="G245" s="221" t="n">
        <f aca="false">ROUND((1-ORCAMENTO!$O$10)*66.86,2)</f>
        <v>66.86</v>
      </c>
      <c r="H245" s="221" t="n">
        <f aca="false">(1-ORCAMENTO!$O$10)*234.01</f>
        <v>234.01</v>
      </c>
      <c r="I245" s="222" t="n">
        <f aca="false">(1-ORCAMENTO!$O$10)*234.01</f>
        <v>234.01</v>
      </c>
      <c r="J245" s="222" t="n">
        <f aca="false">(1-ORCAMENTO!$O$10)*0</f>
        <v>0</v>
      </c>
      <c r="K245" s="222" t="n">
        <f aca="false">(1-ORCAMENTO!$O$10)*0</f>
        <v>0</v>
      </c>
      <c r="L245" s="222" t="n">
        <f aca="false">(1-ORCAMENTO!$O$10)*0</f>
        <v>0</v>
      </c>
      <c r="M245" s="222" t="n">
        <f aca="false">(1-ORCAMENTO!$O$10)*0</f>
        <v>0</v>
      </c>
      <c r="N245" s="150"/>
      <c r="O245" s="150"/>
      <c r="P245" s="150"/>
      <c r="Q245" s="150"/>
      <c r="R245" s="150"/>
      <c r="S245" s="150"/>
      <c r="T245" s="150"/>
      <c r="U245" s="150"/>
      <c r="V245" s="150"/>
      <c r="W245" s="150"/>
      <c r="X245" s="150"/>
      <c r="Y245" s="150"/>
      <c r="Z245" s="150"/>
    </row>
    <row r="246" customFormat="false" ht="14.25" hidden="false" customHeight="true" outlineLevel="0" collapsed="false">
      <c r="A246" s="228" t="s">
        <v>341</v>
      </c>
      <c r="B246" s="217" t="s">
        <v>69</v>
      </c>
      <c r="C246" s="228" t="s">
        <v>348</v>
      </c>
      <c r="D246" s="218" t="s">
        <v>349</v>
      </c>
      <c r="E246" s="219" t="s">
        <v>71</v>
      </c>
      <c r="F246" s="220" t="n">
        <v>0.5</v>
      </c>
      <c r="G246" s="221" t="n">
        <f aca="false">ROUND((1-ORCAMENTO!$O$10)*25.12,2)</f>
        <v>25.12</v>
      </c>
      <c r="H246" s="221" t="n">
        <f aca="false">(1-ORCAMENTO!$O$10)*12.56</f>
        <v>12.56</v>
      </c>
      <c r="I246" s="222" t="n">
        <f aca="false">(1-ORCAMENTO!$O$10)*3.85</f>
        <v>3.85</v>
      </c>
      <c r="J246" s="222" t="n">
        <f aca="false">(1-ORCAMENTO!$O$10)*8.71</f>
        <v>8.71</v>
      </c>
      <c r="K246" s="222" t="n">
        <f aca="false">(1-ORCAMENTO!$O$10)*0</f>
        <v>0</v>
      </c>
      <c r="L246" s="222" t="n">
        <f aca="false">(1-ORCAMENTO!$O$10)*0</f>
        <v>0</v>
      </c>
      <c r="M246" s="222" t="n">
        <f aca="false">(1-ORCAMENTO!$O$10)*0</f>
        <v>0</v>
      </c>
      <c r="N246" s="150"/>
      <c r="O246" s="150"/>
      <c r="P246" s="150"/>
      <c r="Q246" s="150"/>
      <c r="R246" s="150"/>
      <c r="S246" s="150"/>
      <c r="T246" s="150"/>
      <c r="U246" s="150"/>
      <c r="V246" s="150"/>
      <c r="W246" s="150"/>
      <c r="X246" s="150"/>
      <c r="Y246" s="150"/>
      <c r="Z246" s="150"/>
    </row>
    <row r="247" customFormat="false" ht="14.25" hidden="false" customHeight="true" outlineLevel="0" collapsed="false">
      <c r="A247" s="228"/>
      <c r="B247" s="217"/>
      <c r="C247" s="228"/>
      <c r="D247" s="218"/>
      <c r="E247" s="219"/>
      <c r="F247" s="220"/>
      <c r="G247" s="221"/>
      <c r="H247" s="221"/>
      <c r="I247" s="222"/>
      <c r="J247" s="222"/>
      <c r="K247" s="222"/>
      <c r="L247" s="222"/>
      <c r="M247" s="222"/>
      <c r="N247" s="150"/>
      <c r="O247" s="150"/>
      <c r="P247" s="150"/>
      <c r="Q247" s="150"/>
      <c r="R247" s="150"/>
      <c r="S247" s="150"/>
      <c r="T247" s="150"/>
      <c r="U247" s="150"/>
      <c r="V247" s="150"/>
      <c r="W247" s="150"/>
      <c r="X247" s="150"/>
      <c r="Y247" s="150"/>
      <c r="Z247" s="150"/>
    </row>
    <row r="248" customFormat="false" ht="14.25" hidden="false" customHeight="true" outlineLevel="0" collapsed="false">
      <c r="A248" s="223" t="s">
        <v>101</v>
      </c>
      <c r="B248" s="160" t="s">
        <v>51</v>
      </c>
      <c r="C248" s="223"/>
      <c r="D248" s="224" t="s">
        <v>102</v>
      </c>
      <c r="E248" s="159" t="s">
        <v>54</v>
      </c>
      <c r="F248" s="225"/>
      <c r="G248" s="226"/>
      <c r="H248" s="226" t="n">
        <f aca="false">SUM($I$248:$M$248)</f>
        <v>1011.91</v>
      </c>
      <c r="I248" s="227" t="n">
        <f aca="false">ROUND((1-ORCAMENTO!$O$10)*645.99,2)</f>
        <v>645.99</v>
      </c>
      <c r="J248" s="227" t="n">
        <f aca="false">ROUND((1-ORCAMENTO!$O$10)*364.75,2)</f>
        <v>364.75</v>
      </c>
      <c r="K248" s="227" t="n">
        <f aca="false">ROUND((1-ORCAMENTO!$O$10)*0.69,2)</f>
        <v>0.69</v>
      </c>
      <c r="L248" s="227" t="n">
        <f aca="false">ROUND((1-ORCAMENTO!$O$10)*0,2)</f>
        <v>0</v>
      </c>
      <c r="M248" s="227" t="n">
        <f aca="false">ROUND((1-ORCAMENTO!$O$10)*0.48,2)</f>
        <v>0.48</v>
      </c>
      <c r="N248" s="150"/>
      <c r="O248" s="150"/>
      <c r="P248" s="150"/>
      <c r="Q248" s="150"/>
      <c r="R248" s="150"/>
      <c r="S248" s="150"/>
      <c r="T248" s="150"/>
      <c r="U248" s="150"/>
      <c r="V248" s="150"/>
      <c r="W248" s="150"/>
      <c r="X248" s="150"/>
      <c r="Y248" s="150"/>
      <c r="Z248" s="150"/>
    </row>
    <row r="249" customFormat="false" ht="14.25" hidden="false" customHeight="true" outlineLevel="0" collapsed="false">
      <c r="A249" s="228" t="s">
        <v>341</v>
      </c>
      <c r="B249" s="217" t="s">
        <v>69</v>
      </c>
      <c r="C249" s="228" t="s">
        <v>548</v>
      </c>
      <c r="D249" s="218" t="s">
        <v>549</v>
      </c>
      <c r="E249" s="219" t="s">
        <v>62</v>
      </c>
      <c r="F249" s="220" t="n">
        <v>5.68</v>
      </c>
      <c r="G249" s="221" t="n">
        <f aca="false">ROUND((1-ORCAMENTO!$O$10)*85.85,2)</f>
        <v>85.85</v>
      </c>
      <c r="H249" s="221" t="n">
        <f aca="false">(1-ORCAMENTO!$O$10)*487.628</f>
        <v>487.628</v>
      </c>
      <c r="I249" s="222" t="n">
        <f aca="false">(1-ORCAMENTO!$O$10)*362.384</f>
        <v>362.384</v>
      </c>
      <c r="J249" s="222" t="n">
        <f aca="false">(1-ORCAMENTO!$O$10)*125.1304</f>
        <v>125.1304</v>
      </c>
      <c r="K249" s="222" t="n">
        <f aca="false">(1-ORCAMENTO!$O$10)*0.0568</f>
        <v>0.0568</v>
      </c>
      <c r="L249" s="222" t="n">
        <f aca="false">(1-ORCAMENTO!$O$10)*0</f>
        <v>0</v>
      </c>
      <c r="M249" s="222" t="n">
        <f aca="false">(1-ORCAMENTO!$O$10)*0.0568</f>
        <v>0.0568</v>
      </c>
      <c r="N249" s="150"/>
      <c r="O249" s="150"/>
      <c r="P249" s="150"/>
      <c r="Q249" s="150"/>
      <c r="R249" s="150"/>
      <c r="S249" s="150"/>
      <c r="T249" s="150"/>
      <c r="U249" s="150"/>
      <c r="V249" s="150"/>
      <c r="W249" s="150"/>
      <c r="X249" s="150"/>
      <c r="Y249" s="150"/>
      <c r="Z249" s="150"/>
    </row>
    <row r="250" customFormat="false" ht="14.25" hidden="false" customHeight="true" outlineLevel="0" collapsed="false">
      <c r="A250" s="228" t="s">
        <v>341</v>
      </c>
      <c r="B250" s="217" t="s">
        <v>69</v>
      </c>
      <c r="C250" s="228" t="s">
        <v>550</v>
      </c>
      <c r="D250" s="218" t="s">
        <v>551</v>
      </c>
      <c r="E250" s="219" t="s">
        <v>62</v>
      </c>
      <c r="F250" s="220" t="n">
        <v>1.24</v>
      </c>
      <c r="G250" s="221" t="n">
        <f aca="false">ROUND((1-ORCAMENTO!$O$10)*90.98,2)</f>
        <v>90.98</v>
      </c>
      <c r="H250" s="221" t="n">
        <f aca="false">(1-ORCAMENTO!$O$10)*112.8152</f>
        <v>112.8152</v>
      </c>
      <c r="I250" s="222" t="n">
        <f aca="false">(1-ORCAMENTO!$O$10)*66.1292</f>
        <v>66.1292</v>
      </c>
      <c r="J250" s="222" t="n">
        <f aca="false">(1-ORCAMENTO!$O$10)*46.6736</f>
        <v>46.6736</v>
      </c>
      <c r="K250" s="222" t="n">
        <f aca="false">(1-ORCAMENTO!$O$10)*0</f>
        <v>0</v>
      </c>
      <c r="L250" s="222" t="n">
        <f aca="false">(1-ORCAMENTO!$O$10)*0</f>
        <v>0</v>
      </c>
      <c r="M250" s="222" t="n">
        <f aca="false">(1-ORCAMENTO!$O$10)*0.0124</f>
        <v>0.0124</v>
      </c>
      <c r="N250" s="150"/>
      <c r="O250" s="150"/>
      <c r="P250" s="150"/>
      <c r="Q250" s="150"/>
      <c r="R250" s="150"/>
      <c r="S250" s="150"/>
      <c r="T250" s="150"/>
      <c r="U250" s="150"/>
      <c r="V250" s="150"/>
      <c r="W250" s="150"/>
      <c r="X250" s="150"/>
      <c r="Y250" s="150"/>
      <c r="Z250" s="150"/>
    </row>
    <row r="251" customFormat="false" ht="14.25" hidden="false" customHeight="true" outlineLevel="0" collapsed="false">
      <c r="A251" s="228" t="s">
        <v>341</v>
      </c>
      <c r="B251" s="217" t="s">
        <v>69</v>
      </c>
      <c r="C251" s="228" t="s">
        <v>552</v>
      </c>
      <c r="D251" s="218" t="s">
        <v>553</v>
      </c>
      <c r="E251" s="219" t="s">
        <v>85</v>
      </c>
      <c r="F251" s="220" t="n">
        <v>0.31</v>
      </c>
      <c r="G251" s="221" t="n">
        <f aca="false">ROUND((1-ORCAMENTO!$O$10)*169.51,2)</f>
        <v>169.51</v>
      </c>
      <c r="H251" s="221" t="n">
        <f aca="false">(1-ORCAMENTO!$O$10)*52.5481</f>
        <v>52.5481</v>
      </c>
      <c r="I251" s="222" t="n">
        <f aca="false">(1-ORCAMENTO!$O$10)*13.7299</f>
        <v>13.7299</v>
      </c>
      <c r="J251" s="222" t="n">
        <f aca="false">(1-ORCAMENTO!$O$10)*38.4617</f>
        <v>38.4617</v>
      </c>
      <c r="K251" s="222" t="n">
        <f aca="false">(1-ORCAMENTO!$O$10)*0.2449</f>
        <v>0.2449</v>
      </c>
      <c r="L251" s="222" t="n">
        <f aca="false">(1-ORCAMENTO!$O$10)*0</f>
        <v>0</v>
      </c>
      <c r="M251" s="222" t="n">
        <f aca="false">(1-ORCAMENTO!$O$10)*0.1116</f>
        <v>0.1116</v>
      </c>
      <c r="N251" s="150"/>
      <c r="O251" s="150"/>
      <c r="P251" s="150"/>
      <c r="Q251" s="150"/>
      <c r="R251" s="150"/>
      <c r="S251" s="150"/>
      <c r="T251" s="150"/>
      <c r="U251" s="150"/>
      <c r="V251" s="150"/>
      <c r="W251" s="150"/>
      <c r="X251" s="150"/>
      <c r="Y251" s="150"/>
      <c r="Z251" s="150"/>
    </row>
    <row r="252" customFormat="false" ht="14.25" hidden="false" customHeight="true" outlineLevel="0" collapsed="false">
      <c r="A252" s="228" t="s">
        <v>341</v>
      </c>
      <c r="B252" s="217" t="s">
        <v>69</v>
      </c>
      <c r="C252" s="228" t="s">
        <v>554</v>
      </c>
      <c r="D252" s="218" t="s">
        <v>555</v>
      </c>
      <c r="E252" s="219" t="s">
        <v>85</v>
      </c>
      <c r="F252" s="220" t="n">
        <v>0.25</v>
      </c>
      <c r="G252" s="221" t="n">
        <f aca="false">ROUND((1-ORCAMENTO!$O$10)*416.49,2)</f>
        <v>416.49</v>
      </c>
      <c r="H252" s="221" t="n">
        <f aca="false">(1-ORCAMENTO!$O$10)*104.1225</f>
        <v>104.1225</v>
      </c>
      <c r="I252" s="222" t="n">
        <f aca="false">(1-ORCAMENTO!$O$10)*86.6775</f>
        <v>86.6775</v>
      </c>
      <c r="J252" s="222" t="n">
        <f aca="false">(1-ORCAMENTO!$O$10)*17.1125</f>
        <v>17.1125</v>
      </c>
      <c r="K252" s="222" t="n">
        <f aca="false">(1-ORCAMENTO!$O$10)*0.17</f>
        <v>0.17</v>
      </c>
      <c r="L252" s="222" t="n">
        <f aca="false">(1-ORCAMENTO!$O$10)*0</f>
        <v>0</v>
      </c>
      <c r="M252" s="222" t="n">
        <f aca="false">(1-ORCAMENTO!$O$10)*0.1625</f>
        <v>0.1625</v>
      </c>
      <c r="N252" s="150"/>
      <c r="O252" s="150"/>
      <c r="P252" s="150"/>
      <c r="Q252" s="150"/>
      <c r="R252" s="150"/>
      <c r="S252" s="150"/>
      <c r="T252" s="150"/>
      <c r="U252" s="150"/>
      <c r="V252" s="150"/>
      <c r="W252" s="150"/>
      <c r="X252" s="150"/>
      <c r="Y252" s="150"/>
      <c r="Z252" s="150"/>
    </row>
    <row r="253" customFormat="false" ht="14.25" hidden="false" customHeight="true" outlineLevel="0" collapsed="false">
      <c r="A253" s="228" t="s">
        <v>341</v>
      </c>
      <c r="B253" s="217" t="s">
        <v>69</v>
      </c>
      <c r="C253" s="228" t="s">
        <v>556</v>
      </c>
      <c r="D253" s="218" t="s">
        <v>557</v>
      </c>
      <c r="E253" s="219" t="s">
        <v>85</v>
      </c>
      <c r="F253" s="220" t="n">
        <v>0.06</v>
      </c>
      <c r="G253" s="221" t="n">
        <f aca="false">ROUND((1-ORCAMENTO!$O$10)*469.3,2)</f>
        <v>469.3</v>
      </c>
      <c r="H253" s="221" t="n">
        <f aca="false">(1-ORCAMENTO!$O$10)*28.158</f>
        <v>28.158</v>
      </c>
      <c r="I253" s="222" t="n">
        <f aca="false">(1-ORCAMENTO!$O$10)*23.9946</f>
        <v>23.9946</v>
      </c>
      <c r="J253" s="222" t="n">
        <f aca="false">(1-ORCAMENTO!$O$10)*4.0836</f>
        <v>4.0836</v>
      </c>
      <c r="K253" s="222" t="n">
        <f aca="false">(1-ORCAMENTO!$O$10)*0.0408</f>
        <v>0.0408</v>
      </c>
      <c r="L253" s="222" t="n">
        <f aca="false">(1-ORCAMENTO!$O$10)*0</f>
        <v>0</v>
      </c>
      <c r="M253" s="222" t="n">
        <f aca="false">(1-ORCAMENTO!$O$10)*0.039</f>
        <v>0.039</v>
      </c>
      <c r="N253" s="150"/>
      <c r="O253" s="150"/>
      <c r="P253" s="150"/>
      <c r="Q253" s="150"/>
      <c r="R253" s="150"/>
      <c r="S253" s="150"/>
      <c r="T253" s="150"/>
      <c r="U253" s="150"/>
      <c r="V253" s="150"/>
      <c r="W253" s="150"/>
      <c r="X253" s="150"/>
      <c r="Y253" s="150"/>
      <c r="Z253" s="150"/>
    </row>
    <row r="254" customFormat="false" ht="14.25" hidden="false" customHeight="true" outlineLevel="0" collapsed="false">
      <c r="A254" s="228" t="s">
        <v>341</v>
      </c>
      <c r="B254" s="217" t="s">
        <v>69</v>
      </c>
      <c r="C254" s="228" t="s">
        <v>558</v>
      </c>
      <c r="D254" s="218" t="s">
        <v>559</v>
      </c>
      <c r="E254" s="219" t="s">
        <v>85</v>
      </c>
      <c r="F254" s="220" t="n">
        <v>0.09</v>
      </c>
      <c r="G254" s="221" t="n">
        <f aca="false">ROUND((1-ORCAMENTO!$O$10)*552.85,2)</f>
        <v>552.85</v>
      </c>
      <c r="H254" s="221" t="n">
        <f aca="false">(1-ORCAMENTO!$O$10)*49.7565</f>
        <v>49.7565</v>
      </c>
      <c r="I254" s="222" t="n">
        <f aca="false">(1-ORCAMENTO!$O$10)*40.6692</f>
        <v>40.6692</v>
      </c>
      <c r="J254" s="222" t="n">
        <f aca="false">(1-ORCAMENTO!$O$10)*8.8182</f>
        <v>8.8182</v>
      </c>
      <c r="K254" s="222" t="n">
        <f aca="false">(1-ORCAMENTO!$O$10)*0.1755</f>
        <v>0.1755</v>
      </c>
      <c r="L254" s="222" t="n">
        <f aca="false">(1-ORCAMENTO!$O$10)*0</f>
        <v>0</v>
      </c>
      <c r="M254" s="222" t="n">
        <f aca="false">(1-ORCAMENTO!$O$10)*0.0936</f>
        <v>0.0936</v>
      </c>
      <c r="N254" s="150"/>
      <c r="O254" s="150"/>
      <c r="P254" s="150"/>
      <c r="Q254" s="150"/>
      <c r="R254" s="150"/>
      <c r="S254" s="150"/>
      <c r="T254" s="150"/>
      <c r="U254" s="150"/>
      <c r="V254" s="150"/>
      <c r="W254" s="150"/>
      <c r="X254" s="150"/>
      <c r="Y254" s="150"/>
      <c r="Z254" s="150"/>
    </row>
    <row r="255" customFormat="false" ht="14.25" hidden="false" customHeight="true" outlineLevel="0" collapsed="false">
      <c r="A255" s="228" t="s">
        <v>341</v>
      </c>
      <c r="B255" s="217" t="s">
        <v>69</v>
      </c>
      <c r="C255" s="228" t="s">
        <v>560</v>
      </c>
      <c r="D255" s="218" t="s">
        <v>561</v>
      </c>
      <c r="E255" s="219" t="s">
        <v>127</v>
      </c>
      <c r="F255" s="220" t="n">
        <v>4.1</v>
      </c>
      <c r="G255" s="221" t="n">
        <f aca="false">ROUND((1-ORCAMENTO!$O$10)*10.9,2)</f>
        <v>10.9</v>
      </c>
      <c r="H255" s="221" t="n">
        <f aca="false">(1-ORCAMENTO!$O$10)*44.69</f>
        <v>44.69</v>
      </c>
      <c r="I255" s="222" t="n">
        <f aca="false">(1-ORCAMENTO!$O$10)*43.665</f>
        <v>43.665</v>
      </c>
      <c r="J255" s="222" t="n">
        <f aca="false">(1-ORCAMENTO!$O$10)*1.025</f>
        <v>1.025</v>
      </c>
      <c r="K255" s="222" t="n">
        <f aca="false">(1-ORCAMENTO!$O$10)*0</f>
        <v>0</v>
      </c>
      <c r="L255" s="222" t="n">
        <f aca="false">(1-ORCAMENTO!$O$10)*0</f>
        <v>0</v>
      </c>
      <c r="M255" s="222" t="n">
        <f aca="false">(1-ORCAMENTO!$O$10)*0</f>
        <v>0</v>
      </c>
      <c r="N255" s="150"/>
      <c r="O255" s="150"/>
      <c r="P255" s="150"/>
      <c r="Q255" s="150"/>
      <c r="R255" s="150"/>
      <c r="S255" s="150"/>
      <c r="T255" s="150"/>
      <c r="U255" s="150"/>
      <c r="V255" s="150"/>
      <c r="W255" s="150"/>
      <c r="X255" s="150"/>
      <c r="Y255" s="150"/>
      <c r="Z255" s="150"/>
    </row>
    <row r="256" customFormat="false" ht="14.25" hidden="false" customHeight="true" outlineLevel="0" collapsed="false">
      <c r="A256" s="228" t="s">
        <v>341</v>
      </c>
      <c r="B256" s="217" t="s">
        <v>69</v>
      </c>
      <c r="C256" s="228" t="s">
        <v>428</v>
      </c>
      <c r="D256" s="218" t="s">
        <v>73</v>
      </c>
      <c r="E256" s="219" t="s">
        <v>71</v>
      </c>
      <c r="F256" s="220" t="n">
        <v>3.51</v>
      </c>
      <c r="G256" s="221" t="n">
        <f aca="false">ROUND((1-ORCAMENTO!$O$10)*37.66,2)</f>
        <v>37.66</v>
      </c>
      <c r="H256" s="221" t="n">
        <f aca="false">(1-ORCAMENTO!$O$10)*132.1866</f>
        <v>132.1866</v>
      </c>
      <c r="I256" s="222" t="n">
        <f aca="false">(1-ORCAMENTO!$O$10)*8.7399</f>
        <v>8.7399</v>
      </c>
      <c r="J256" s="222" t="n">
        <f aca="false">(1-ORCAMENTO!$O$10)*123.4467</f>
        <v>123.4467</v>
      </c>
      <c r="K256" s="222" t="n">
        <f aca="false">(1-ORCAMENTO!$O$10)*0</f>
        <v>0</v>
      </c>
      <c r="L256" s="222" t="n">
        <f aca="false">(1-ORCAMENTO!$O$10)*0</f>
        <v>0</v>
      </c>
      <c r="M256" s="222" t="n">
        <f aca="false">(1-ORCAMENTO!$O$10)*0</f>
        <v>0</v>
      </c>
      <c r="N256" s="150"/>
      <c r="O256" s="150"/>
      <c r="P256" s="150"/>
      <c r="Q256" s="150"/>
      <c r="R256" s="150"/>
      <c r="S256" s="150"/>
      <c r="T256" s="150"/>
      <c r="U256" s="150"/>
      <c r="V256" s="150"/>
      <c r="W256" s="150"/>
      <c r="X256" s="150"/>
      <c r="Y256" s="150"/>
      <c r="Z256" s="150"/>
    </row>
    <row r="257" customFormat="false" ht="14.25" hidden="false" customHeight="true" outlineLevel="0" collapsed="false">
      <c r="A257" s="228"/>
      <c r="B257" s="217"/>
      <c r="C257" s="228"/>
      <c r="D257" s="218"/>
      <c r="E257" s="219"/>
      <c r="F257" s="220"/>
      <c r="G257" s="221"/>
      <c r="H257" s="221"/>
      <c r="I257" s="222"/>
      <c r="J257" s="222"/>
      <c r="K257" s="222"/>
      <c r="L257" s="222"/>
      <c r="M257" s="222"/>
      <c r="N257" s="150"/>
      <c r="O257" s="150"/>
      <c r="P257" s="150"/>
      <c r="Q257" s="150"/>
      <c r="R257" s="150"/>
      <c r="S257" s="150"/>
      <c r="T257" s="150"/>
      <c r="U257" s="150"/>
      <c r="V257" s="150"/>
      <c r="W257" s="150"/>
      <c r="X257" s="150"/>
      <c r="Y257" s="150"/>
      <c r="Z257" s="150"/>
    </row>
    <row r="258" customFormat="false" ht="14.25" hidden="false" customHeight="true" outlineLevel="0" collapsed="false">
      <c r="A258" s="223" t="s">
        <v>104</v>
      </c>
      <c r="B258" s="160" t="s">
        <v>51</v>
      </c>
      <c r="C258" s="223"/>
      <c r="D258" s="224" t="s">
        <v>105</v>
      </c>
      <c r="E258" s="159" t="s">
        <v>106</v>
      </c>
      <c r="F258" s="225"/>
      <c r="G258" s="226"/>
      <c r="H258" s="226" t="n">
        <f aca="false">SUM($I$258:$M$258)</f>
        <v>164.2</v>
      </c>
      <c r="I258" s="227" t="n">
        <f aca="false">ROUND((1-ORCAMENTO!$O$10)*128.22,2)</f>
        <v>128.22</v>
      </c>
      <c r="J258" s="227" t="n">
        <f aca="false">ROUND((1-ORCAMENTO!$O$10)*35.98,2)</f>
        <v>35.98</v>
      </c>
      <c r="K258" s="227" t="n">
        <f aca="false">ROUND((1-ORCAMENTO!$O$10)*0,2)</f>
        <v>0</v>
      </c>
      <c r="L258" s="227" t="n">
        <f aca="false">ROUND((1-ORCAMENTO!$O$10)*0,2)</f>
        <v>0</v>
      </c>
      <c r="M258" s="227" t="n">
        <f aca="false">ROUND((1-ORCAMENTO!$O$10)*0,2)</f>
        <v>0</v>
      </c>
      <c r="N258" s="150"/>
      <c r="O258" s="150"/>
      <c r="P258" s="150"/>
      <c r="Q258" s="150"/>
      <c r="R258" s="150"/>
      <c r="S258" s="150"/>
      <c r="T258" s="150"/>
      <c r="U258" s="150"/>
      <c r="V258" s="150"/>
      <c r="W258" s="150"/>
      <c r="X258" s="150"/>
      <c r="Y258" s="150"/>
      <c r="Z258" s="150"/>
    </row>
    <row r="259" customFormat="false" ht="14.25" hidden="false" customHeight="true" outlineLevel="0" collapsed="false">
      <c r="A259" s="228" t="s">
        <v>341</v>
      </c>
      <c r="B259" s="217" t="s">
        <v>383</v>
      </c>
      <c r="C259" s="228" t="s">
        <v>562</v>
      </c>
      <c r="D259" s="218" t="s">
        <v>563</v>
      </c>
      <c r="E259" s="219" t="s">
        <v>127</v>
      </c>
      <c r="F259" s="220" t="n">
        <v>4.64</v>
      </c>
      <c r="G259" s="221" t="n">
        <f aca="false">ROUND((1-ORCAMENTO!$O$10)*11.38,2)</f>
        <v>11.38</v>
      </c>
      <c r="H259" s="221" t="n">
        <f aca="false">(1-ORCAMENTO!$O$10)*52.8032</f>
        <v>52.8032</v>
      </c>
      <c r="I259" s="222" t="n">
        <f aca="false">(1-ORCAMENTO!$O$10)*52.8032</f>
        <v>52.8032</v>
      </c>
      <c r="J259" s="222" t="n">
        <f aca="false">(1-ORCAMENTO!$O$10)*0</f>
        <v>0</v>
      </c>
      <c r="K259" s="222" t="n">
        <f aca="false">(1-ORCAMENTO!$O$10)*0</f>
        <v>0</v>
      </c>
      <c r="L259" s="222" t="n">
        <f aca="false">(1-ORCAMENTO!$O$10)*0</f>
        <v>0</v>
      </c>
      <c r="M259" s="222" t="n">
        <f aca="false">(1-ORCAMENTO!$O$10)*0</f>
        <v>0</v>
      </c>
      <c r="N259" s="150"/>
      <c r="O259" s="150"/>
      <c r="P259" s="150"/>
      <c r="Q259" s="150"/>
      <c r="R259" s="150"/>
      <c r="S259" s="150"/>
      <c r="T259" s="150"/>
      <c r="U259" s="150"/>
      <c r="V259" s="150"/>
      <c r="W259" s="150"/>
      <c r="X259" s="150"/>
      <c r="Y259" s="150"/>
      <c r="Z259" s="150"/>
    </row>
    <row r="260" customFormat="false" ht="14.25" hidden="false" customHeight="true" outlineLevel="0" collapsed="false">
      <c r="A260" s="228" t="s">
        <v>341</v>
      </c>
      <c r="B260" s="217" t="s">
        <v>383</v>
      </c>
      <c r="C260" s="228" t="s">
        <v>564</v>
      </c>
      <c r="D260" s="218" t="s">
        <v>565</v>
      </c>
      <c r="E260" s="219" t="s">
        <v>127</v>
      </c>
      <c r="F260" s="220" t="n">
        <v>0.071</v>
      </c>
      <c r="G260" s="221" t="n">
        <f aca="false">ROUND((1-ORCAMENTO!$O$10)*41.53,2)</f>
        <v>41.53</v>
      </c>
      <c r="H260" s="221" t="n">
        <f aca="false">(1-ORCAMENTO!$O$10)*2.94863</f>
        <v>2.94863</v>
      </c>
      <c r="I260" s="222" t="n">
        <f aca="false">(1-ORCAMENTO!$O$10)*2.94863</f>
        <v>2.94863</v>
      </c>
      <c r="J260" s="222" t="n">
        <f aca="false">(1-ORCAMENTO!$O$10)*0</f>
        <v>0</v>
      </c>
      <c r="K260" s="222" t="n">
        <f aca="false">(1-ORCAMENTO!$O$10)*0</f>
        <v>0</v>
      </c>
      <c r="L260" s="222" t="n">
        <f aca="false">(1-ORCAMENTO!$O$10)*0</f>
        <v>0</v>
      </c>
      <c r="M260" s="222" t="n">
        <f aca="false">(1-ORCAMENTO!$O$10)*0</f>
        <v>0</v>
      </c>
      <c r="N260" s="150"/>
      <c r="O260" s="150"/>
      <c r="P260" s="150"/>
      <c r="Q260" s="150"/>
      <c r="R260" s="150"/>
      <c r="S260" s="150"/>
      <c r="T260" s="150"/>
      <c r="U260" s="150"/>
      <c r="V260" s="150"/>
      <c r="W260" s="150"/>
      <c r="X260" s="150"/>
      <c r="Y260" s="150"/>
      <c r="Z260" s="150"/>
    </row>
    <row r="261" customFormat="false" ht="14.25" hidden="false" customHeight="true" outlineLevel="0" collapsed="false">
      <c r="A261" s="228" t="s">
        <v>341</v>
      </c>
      <c r="B261" s="217" t="s">
        <v>69</v>
      </c>
      <c r="C261" s="228" t="s">
        <v>566</v>
      </c>
      <c r="D261" s="218" t="s">
        <v>567</v>
      </c>
      <c r="E261" s="219" t="s">
        <v>71</v>
      </c>
      <c r="F261" s="220" t="n">
        <v>1</v>
      </c>
      <c r="G261" s="221" t="n">
        <f aca="false">ROUND((1-ORCAMENTO!$O$10)*20.9,2)</f>
        <v>20.9</v>
      </c>
      <c r="H261" s="221" t="n">
        <f aca="false">(1-ORCAMENTO!$O$10)*20.9</f>
        <v>20.9</v>
      </c>
      <c r="I261" s="222" t="n">
        <f aca="false">(1-ORCAMENTO!$O$10)*6.64</f>
        <v>6.64</v>
      </c>
      <c r="J261" s="222" t="n">
        <f aca="false">(1-ORCAMENTO!$O$10)*14.26</f>
        <v>14.26</v>
      </c>
      <c r="K261" s="222" t="n">
        <f aca="false">(1-ORCAMENTO!$O$10)*0</f>
        <v>0</v>
      </c>
      <c r="L261" s="222" t="n">
        <f aca="false">(1-ORCAMENTO!$O$10)*0</f>
        <v>0</v>
      </c>
      <c r="M261" s="222" t="n">
        <f aca="false">(1-ORCAMENTO!$O$10)*0</f>
        <v>0</v>
      </c>
      <c r="N261" s="150"/>
      <c r="O261" s="150"/>
      <c r="P261" s="150"/>
      <c r="Q261" s="150"/>
      <c r="R261" s="150"/>
      <c r="S261" s="150"/>
      <c r="T261" s="150"/>
      <c r="U261" s="150"/>
      <c r="V261" s="150"/>
      <c r="W261" s="150"/>
      <c r="X261" s="150"/>
      <c r="Y261" s="150"/>
      <c r="Z261" s="150"/>
    </row>
    <row r="262" customFormat="false" ht="14.25" hidden="false" customHeight="true" outlineLevel="0" collapsed="false">
      <c r="A262" s="228" t="s">
        <v>341</v>
      </c>
      <c r="B262" s="217" t="s">
        <v>69</v>
      </c>
      <c r="C262" s="228" t="s">
        <v>568</v>
      </c>
      <c r="D262" s="218" t="s">
        <v>569</v>
      </c>
      <c r="E262" s="219" t="s">
        <v>71</v>
      </c>
      <c r="F262" s="220" t="n">
        <v>1</v>
      </c>
      <c r="G262" s="221" t="n">
        <f aca="false">ROUND((1-ORCAMENTO!$O$10)*25.27,2)</f>
        <v>25.27</v>
      </c>
      <c r="H262" s="221" t="n">
        <f aca="false">(1-ORCAMENTO!$O$10)*25.27</f>
        <v>25.27</v>
      </c>
      <c r="I262" s="222" t="n">
        <f aca="false">(1-ORCAMENTO!$O$10)*6.64</f>
        <v>6.64</v>
      </c>
      <c r="J262" s="222" t="n">
        <f aca="false">(1-ORCAMENTO!$O$10)*18.63</f>
        <v>18.63</v>
      </c>
      <c r="K262" s="222" t="n">
        <f aca="false">(1-ORCAMENTO!$O$10)*0</f>
        <v>0</v>
      </c>
      <c r="L262" s="222" t="n">
        <f aca="false">(1-ORCAMENTO!$O$10)*0</f>
        <v>0</v>
      </c>
      <c r="M262" s="222" t="n">
        <f aca="false">(1-ORCAMENTO!$O$10)*0</f>
        <v>0</v>
      </c>
      <c r="N262" s="150"/>
      <c r="O262" s="150"/>
      <c r="P262" s="150"/>
      <c r="Q262" s="150"/>
      <c r="R262" s="150"/>
      <c r="S262" s="150"/>
      <c r="T262" s="150"/>
      <c r="U262" s="150"/>
      <c r="V262" s="150"/>
      <c r="W262" s="150"/>
      <c r="X262" s="150"/>
      <c r="Y262" s="150"/>
      <c r="Z262" s="150"/>
    </row>
    <row r="263" customFormat="false" ht="14.25" hidden="false" customHeight="true" outlineLevel="0" collapsed="false">
      <c r="A263" s="228" t="s">
        <v>341</v>
      </c>
      <c r="B263" s="217" t="s">
        <v>383</v>
      </c>
      <c r="C263" s="228" t="s">
        <v>570</v>
      </c>
      <c r="D263" s="218" t="s">
        <v>571</v>
      </c>
      <c r="E263" s="219" t="s">
        <v>127</v>
      </c>
      <c r="F263" s="220" t="n">
        <v>3.075</v>
      </c>
      <c r="G263" s="221" t="n">
        <f aca="false">ROUND((1-ORCAMENTO!$O$10)*12.16,2)</f>
        <v>12.16</v>
      </c>
      <c r="H263" s="221" t="n">
        <f aca="false">(1-ORCAMENTO!$O$10)*37.392</f>
        <v>37.392</v>
      </c>
      <c r="I263" s="222" t="n">
        <f aca="false">(1-ORCAMENTO!$O$10)*37.392</f>
        <v>37.392</v>
      </c>
      <c r="J263" s="222" t="n">
        <f aca="false">(1-ORCAMENTO!$O$10)*0</f>
        <v>0</v>
      </c>
      <c r="K263" s="222" t="n">
        <f aca="false">(1-ORCAMENTO!$O$10)*0</f>
        <v>0</v>
      </c>
      <c r="L263" s="222" t="n">
        <f aca="false">(1-ORCAMENTO!$O$10)*0</f>
        <v>0</v>
      </c>
      <c r="M263" s="222" t="n">
        <f aca="false">(1-ORCAMENTO!$O$10)*0</f>
        <v>0</v>
      </c>
      <c r="N263" s="150"/>
      <c r="O263" s="150"/>
      <c r="P263" s="150"/>
      <c r="Q263" s="150"/>
      <c r="R263" s="150"/>
      <c r="S263" s="150"/>
      <c r="T263" s="150"/>
      <c r="U263" s="150"/>
      <c r="V263" s="150"/>
      <c r="W263" s="150"/>
      <c r="X263" s="150"/>
      <c r="Y263" s="150"/>
      <c r="Z263" s="150"/>
    </row>
    <row r="264" customFormat="false" ht="14.25" hidden="false" customHeight="true" outlineLevel="0" collapsed="false">
      <c r="A264" s="228" t="s">
        <v>341</v>
      </c>
      <c r="B264" s="217" t="s">
        <v>51</v>
      </c>
      <c r="C264" s="228" t="s">
        <v>572</v>
      </c>
      <c r="D264" s="218" t="s">
        <v>573</v>
      </c>
      <c r="E264" s="219" t="s">
        <v>62</v>
      </c>
      <c r="F264" s="220" t="n">
        <v>0.669</v>
      </c>
      <c r="G264" s="221" t="n">
        <f aca="false">ROUND((1-ORCAMENTO!$O$10)*28.16,2)</f>
        <v>28.16</v>
      </c>
      <c r="H264" s="221" t="n">
        <f aca="false">(1-ORCAMENTO!$O$10)*18.83904</f>
        <v>18.83904</v>
      </c>
      <c r="I264" s="222" t="n">
        <f aca="false">(1-ORCAMENTO!$O$10)*15.88875</f>
        <v>15.88875</v>
      </c>
      <c r="J264" s="222" t="n">
        <f aca="false">(1-ORCAMENTO!$O$10)*2.95029</f>
        <v>2.95029</v>
      </c>
      <c r="K264" s="222" t="n">
        <f aca="false">(1-ORCAMENTO!$O$10)*0</f>
        <v>0</v>
      </c>
      <c r="L264" s="222" t="n">
        <f aca="false">(1-ORCAMENTO!$O$10)*0</f>
        <v>0</v>
      </c>
      <c r="M264" s="222" t="n">
        <f aca="false">(1-ORCAMENTO!$O$10)*0</f>
        <v>0</v>
      </c>
      <c r="N264" s="150"/>
      <c r="O264" s="150"/>
      <c r="P264" s="150"/>
      <c r="Q264" s="150"/>
      <c r="R264" s="150"/>
      <c r="S264" s="150"/>
      <c r="T264" s="150"/>
      <c r="U264" s="150"/>
      <c r="V264" s="150"/>
      <c r="W264" s="150"/>
      <c r="X264" s="150"/>
      <c r="Y264" s="150"/>
      <c r="Z264" s="150"/>
    </row>
    <row r="265" customFormat="false" ht="14.25" hidden="false" customHeight="true" outlineLevel="0" collapsed="false">
      <c r="A265" s="228" t="s">
        <v>341</v>
      </c>
      <c r="B265" s="217" t="s">
        <v>69</v>
      </c>
      <c r="C265" s="228" t="s">
        <v>560</v>
      </c>
      <c r="D265" s="218" t="s">
        <v>561</v>
      </c>
      <c r="E265" s="219" t="s">
        <v>127</v>
      </c>
      <c r="F265" s="220" t="n">
        <v>0.555</v>
      </c>
      <c r="G265" s="221" t="n">
        <f aca="false">ROUND((1-ORCAMENTO!$O$10)*10.9,2)</f>
        <v>10.9</v>
      </c>
      <c r="H265" s="221" t="n">
        <f aca="false">(1-ORCAMENTO!$O$10)*6.0495</f>
        <v>6.0495</v>
      </c>
      <c r="I265" s="222" t="n">
        <f aca="false">(1-ORCAMENTO!$O$10)*5.91075</f>
        <v>5.91075</v>
      </c>
      <c r="J265" s="222" t="n">
        <f aca="false">(1-ORCAMENTO!$O$10)*0.13875</f>
        <v>0.13875</v>
      </c>
      <c r="K265" s="222" t="n">
        <f aca="false">(1-ORCAMENTO!$O$10)*0</f>
        <v>0</v>
      </c>
      <c r="L265" s="222" t="n">
        <f aca="false">(1-ORCAMENTO!$O$10)*0</f>
        <v>0</v>
      </c>
      <c r="M265" s="222" t="n">
        <f aca="false">(1-ORCAMENTO!$O$10)*0</f>
        <v>0</v>
      </c>
      <c r="N265" s="150"/>
      <c r="O265" s="150"/>
      <c r="P265" s="150"/>
      <c r="Q265" s="150"/>
      <c r="R265" s="150"/>
      <c r="S265" s="150"/>
      <c r="T265" s="150"/>
      <c r="U265" s="150"/>
      <c r="V265" s="150"/>
      <c r="W265" s="150"/>
      <c r="X265" s="150"/>
      <c r="Y265" s="150"/>
      <c r="Z265" s="150"/>
    </row>
    <row r="266" customFormat="false" ht="14.25" hidden="false" customHeight="true" outlineLevel="0" collapsed="false">
      <c r="A266" s="228"/>
      <c r="B266" s="217"/>
      <c r="C266" s="228"/>
      <c r="D266" s="218"/>
      <c r="E266" s="219"/>
      <c r="F266" s="220"/>
      <c r="G266" s="221"/>
      <c r="H266" s="221"/>
      <c r="I266" s="222"/>
      <c r="J266" s="222"/>
      <c r="K266" s="222"/>
      <c r="L266" s="222"/>
      <c r="M266" s="222"/>
      <c r="N266" s="150"/>
      <c r="O266" s="150"/>
      <c r="P266" s="150"/>
      <c r="Q266" s="150"/>
      <c r="R266" s="150"/>
      <c r="S266" s="150"/>
      <c r="T266" s="150"/>
      <c r="U266" s="150"/>
      <c r="V266" s="150"/>
      <c r="W266" s="150"/>
      <c r="X266" s="150"/>
      <c r="Y266" s="150"/>
      <c r="Z266" s="150"/>
    </row>
    <row r="267" customFormat="false" ht="14.25" hidden="false" customHeight="true" outlineLevel="0" collapsed="false">
      <c r="A267" s="223" t="s">
        <v>572</v>
      </c>
      <c r="B267" s="160" t="s">
        <v>51</v>
      </c>
      <c r="C267" s="223"/>
      <c r="D267" s="224" t="s">
        <v>573</v>
      </c>
      <c r="E267" s="159" t="s">
        <v>62</v>
      </c>
      <c r="F267" s="225"/>
      <c r="G267" s="226"/>
      <c r="H267" s="226" t="n">
        <f aca="false">SUM($I$267:$M$267)</f>
        <v>31.39</v>
      </c>
      <c r="I267" s="227" t="n">
        <f aca="false">ROUND((1-ORCAMENTO!$O$10)*25.6,2)</f>
        <v>25.6</v>
      </c>
      <c r="J267" s="227" t="n">
        <f aca="false">ROUND((1-ORCAMENTO!$O$10)*5.79,2)</f>
        <v>5.79</v>
      </c>
      <c r="K267" s="227" t="n">
        <f aca="false">ROUND((1-ORCAMENTO!$O$10)*0,2)</f>
        <v>0</v>
      </c>
      <c r="L267" s="227" t="n">
        <f aca="false">ROUND((1-ORCAMENTO!$O$10)*0,2)</f>
        <v>0</v>
      </c>
      <c r="M267" s="227" t="n">
        <f aca="false">ROUND((1-ORCAMENTO!$O$10)*0,2)</f>
        <v>0</v>
      </c>
      <c r="N267" s="150"/>
      <c r="O267" s="150"/>
      <c r="P267" s="150"/>
      <c r="Q267" s="150"/>
      <c r="R267" s="150"/>
      <c r="S267" s="150"/>
      <c r="T267" s="150"/>
      <c r="U267" s="150"/>
      <c r="V267" s="150"/>
      <c r="W267" s="150"/>
      <c r="X267" s="150"/>
      <c r="Y267" s="150"/>
      <c r="Z267" s="150"/>
    </row>
    <row r="268" customFormat="false" ht="14.25" hidden="false" customHeight="true" outlineLevel="0" collapsed="false">
      <c r="A268" s="228" t="s">
        <v>341</v>
      </c>
      <c r="B268" s="217" t="s">
        <v>383</v>
      </c>
      <c r="C268" s="228" t="s">
        <v>574</v>
      </c>
      <c r="D268" s="218" t="s">
        <v>575</v>
      </c>
      <c r="E268" s="219" t="s">
        <v>54</v>
      </c>
      <c r="F268" s="220" t="n">
        <v>0.55</v>
      </c>
      <c r="G268" s="221" t="n">
        <f aca="false">ROUND((1-ORCAMENTO!$O$10)*5.13,2)</f>
        <v>5.13</v>
      </c>
      <c r="H268" s="221" t="n">
        <f aca="false">(1-ORCAMENTO!$O$10)*2.8215</f>
        <v>2.8215</v>
      </c>
      <c r="I268" s="222" t="n">
        <f aca="false">(1-ORCAMENTO!$O$10)*2.8215</f>
        <v>2.8215</v>
      </c>
      <c r="J268" s="222" t="n">
        <f aca="false">(1-ORCAMENTO!$O$10)*0</f>
        <v>0</v>
      </c>
      <c r="K268" s="222" t="n">
        <f aca="false">(1-ORCAMENTO!$O$10)*0</f>
        <v>0</v>
      </c>
      <c r="L268" s="222" t="n">
        <f aca="false">(1-ORCAMENTO!$O$10)*0</f>
        <v>0</v>
      </c>
      <c r="M268" s="222" t="n">
        <f aca="false">(1-ORCAMENTO!$O$10)*0</f>
        <v>0</v>
      </c>
      <c r="N268" s="150"/>
      <c r="O268" s="150"/>
      <c r="P268" s="150"/>
      <c r="Q268" s="150"/>
      <c r="R268" s="150"/>
      <c r="S268" s="150"/>
      <c r="T268" s="150"/>
      <c r="U268" s="150"/>
      <c r="V268" s="150"/>
      <c r="W268" s="150"/>
      <c r="X268" s="150"/>
      <c r="Y268" s="150"/>
      <c r="Z268" s="150"/>
    </row>
    <row r="269" customFormat="false" ht="14.25" hidden="false" customHeight="true" outlineLevel="0" collapsed="false">
      <c r="A269" s="228" t="s">
        <v>341</v>
      </c>
      <c r="B269" s="217" t="s">
        <v>383</v>
      </c>
      <c r="C269" s="228" t="s">
        <v>576</v>
      </c>
      <c r="D269" s="218" t="s">
        <v>577</v>
      </c>
      <c r="E269" s="219" t="s">
        <v>308</v>
      </c>
      <c r="F269" s="220" t="n">
        <v>0.176</v>
      </c>
      <c r="G269" s="221" t="n">
        <f aca="false">ROUND((1-ORCAMENTO!$O$10)*74.5,2)</f>
        <v>74.5</v>
      </c>
      <c r="H269" s="221" t="n">
        <f aca="false">(1-ORCAMENTO!$O$10)*13.112</f>
        <v>13.112</v>
      </c>
      <c r="I269" s="222" t="n">
        <f aca="false">(1-ORCAMENTO!$O$10)*13.112</f>
        <v>13.112</v>
      </c>
      <c r="J269" s="222" t="n">
        <f aca="false">(1-ORCAMENTO!$O$10)*0</f>
        <v>0</v>
      </c>
      <c r="K269" s="222" t="n">
        <f aca="false">(1-ORCAMENTO!$O$10)*0</f>
        <v>0</v>
      </c>
      <c r="L269" s="222" t="n">
        <f aca="false">(1-ORCAMENTO!$O$10)*0</f>
        <v>0</v>
      </c>
      <c r="M269" s="222" t="n">
        <f aca="false">(1-ORCAMENTO!$O$10)*0</f>
        <v>0</v>
      </c>
      <c r="N269" s="150"/>
      <c r="O269" s="150"/>
      <c r="P269" s="150"/>
      <c r="Q269" s="150"/>
      <c r="R269" s="150"/>
      <c r="S269" s="150"/>
      <c r="T269" s="150"/>
      <c r="U269" s="150"/>
      <c r="V269" s="150"/>
      <c r="W269" s="150"/>
      <c r="X269" s="150"/>
      <c r="Y269" s="150"/>
      <c r="Z269" s="150"/>
    </row>
    <row r="270" customFormat="false" ht="14.25" hidden="false" customHeight="true" outlineLevel="0" collapsed="false">
      <c r="A270" s="228" t="s">
        <v>341</v>
      </c>
      <c r="B270" s="217" t="s">
        <v>383</v>
      </c>
      <c r="C270" s="228" t="s">
        <v>578</v>
      </c>
      <c r="D270" s="218" t="s">
        <v>579</v>
      </c>
      <c r="E270" s="219" t="s">
        <v>308</v>
      </c>
      <c r="F270" s="220" t="n">
        <v>0.132</v>
      </c>
      <c r="G270" s="221" t="n">
        <f aca="false">ROUND((1-ORCAMENTO!$O$10)*38.95,2)</f>
        <v>38.95</v>
      </c>
      <c r="H270" s="221" t="n">
        <f aca="false">(1-ORCAMENTO!$O$10)*5.1414</f>
        <v>5.1414</v>
      </c>
      <c r="I270" s="222" t="n">
        <f aca="false">(1-ORCAMENTO!$O$10)*5.1414</f>
        <v>5.1414</v>
      </c>
      <c r="J270" s="222" t="n">
        <f aca="false">(1-ORCAMENTO!$O$10)*0</f>
        <v>0</v>
      </c>
      <c r="K270" s="222" t="n">
        <f aca="false">(1-ORCAMENTO!$O$10)*0</f>
        <v>0</v>
      </c>
      <c r="L270" s="222" t="n">
        <f aca="false">(1-ORCAMENTO!$O$10)*0</f>
        <v>0</v>
      </c>
      <c r="M270" s="222" t="n">
        <f aca="false">(1-ORCAMENTO!$O$10)*0</f>
        <v>0</v>
      </c>
      <c r="N270" s="150"/>
      <c r="O270" s="150"/>
      <c r="P270" s="150"/>
      <c r="Q270" s="150"/>
      <c r="R270" s="150"/>
      <c r="S270" s="150"/>
      <c r="T270" s="150"/>
      <c r="U270" s="150"/>
      <c r="V270" s="150"/>
      <c r="W270" s="150"/>
      <c r="X270" s="150"/>
      <c r="Y270" s="150"/>
      <c r="Z270" s="150"/>
    </row>
    <row r="271" customFormat="false" ht="14.25" hidden="false" customHeight="true" outlineLevel="0" collapsed="false">
      <c r="A271" s="228" t="s">
        <v>341</v>
      </c>
      <c r="B271" s="217" t="s">
        <v>69</v>
      </c>
      <c r="C271" s="228" t="s">
        <v>580</v>
      </c>
      <c r="D271" s="218" t="s">
        <v>581</v>
      </c>
      <c r="E271" s="219" t="s">
        <v>71</v>
      </c>
      <c r="F271" s="220" t="n">
        <v>0.187</v>
      </c>
      <c r="G271" s="221" t="n">
        <f aca="false">ROUND((1-ORCAMENTO!$O$10)*33.74,2)</f>
        <v>33.74</v>
      </c>
      <c r="H271" s="221" t="n">
        <f aca="false">(1-ORCAMENTO!$O$10)*6.30938</f>
        <v>6.30938</v>
      </c>
      <c r="I271" s="222" t="n">
        <f aca="false">(1-ORCAMENTO!$O$10)*1.72414</f>
        <v>1.72414</v>
      </c>
      <c r="J271" s="222" t="n">
        <f aca="false">(1-ORCAMENTO!$O$10)*4.58524</f>
        <v>4.58524</v>
      </c>
      <c r="K271" s="222" t="n">
        <f aca="false">(1-ORCAMENTO!$O$10)*0</f>
        <v>0</v>
      </c>
      <c r="L271" s="222" t="n">
        <f aca="false">(1-ORCAMENTO!$O$10)*0</f>
        <v>0</v>
      </c>
      <c r="M271" s="222" t="n">
        <f aca="false">(1-ORCAMENTO!$O$10)*0</f>
        <v>0</v>
      </c>
      <c r="N271" s="150"/>
      <c r="O271" s="150"/>
      <c r="P271" s="150"/>
      <c r="Q271" s="150"/>
      <c r="R271" s="150"/>
      <c r="S271" s="150"/>
      <c r="T271" s="150"/>
      <c r="U271" s="150"/>
      <c r="V271" s="150"/>
      <c r="W271" s="150"/>
      <c r="X271" s="150"/>
      <c r="Y271" s="150"/>
      <c r="Z271" s="150"/>
    </row>
    <row r="272" customFormat="false" ht="14.25" hidden="false" customHeight="true" outlineLevel="0" collapsed="false">
      <c r="A272" s="228" t="s">
        <v>341</v>
      </c>
      <c r="B272" s="217" t="s">
        <v>69</v>
      </c>
      <c r="C272" s="228" t="s">
        <v>348</v>
      </c>
      <c r="D272" s="218" t="s">
        <v>349</v>
      </c>
      <c r="E272" s="219" t="s">
        <v>71</v>
      </c>
      <c r="F272" s="220" t="n">
        <v>0.069</v>
      </c>
      <c r="G272" s="221" t="n">
        <f aca="false">ROUND((1-ORCAMENTO!$O$10)*25.12,2)</f>
        <v>25.12</v>
      </c>
      <c r="H272" s="221" t="n">
        <f aca="false">(1-ORCAMENTO!$O$10)*1.73328</f>
        <v>1.73328</v>
      </c>
      <c r="I272" s="222" t="n">
        <f aca="false">(1-ORCAMENTO!$O$10)*0.5313</f>
        <v>0.5313</v>
      </c>
      <c r="J272" s="222" t="n">
        <f aca="false">(1-ORCAMENTO!$O$10)*1.20198</f>
        <v>1.20198</v>
      </c>
      <c r="K272" s="222" t="n">
        <f aca="false">(1-ORCAMENTO!$O$10)*0</f>
        <v>0</v>
      </c>
      <c r="L272" s="222" t="n">
        <f aca="false">(1-ORCAMENTO!$O$10)*0</f>
        <v>0</v>
      </c>
      <c r="M272" s="222" t="n">
        <f aca="false">(1-ORCAMENTO!$O$10)*0</f>
        <v>0</v>
      </c>
      <c r="N272" s="150"/>
      <c r="O272" s="150"/>
      <c r="P272" s="150"/>
      <c r="Q272" s="150"/>
      <c r="R272" s="150"/>
      <c r="S272" s="150"/>
      <c r="T272" s="150"/>
      <c r="U272" s="150"/>
      <c r="V272" s="150"/>
      <c r="W272" s="150"/>
      <c r="X272" s="150"/>
      <c r="Y272" s="150"/>
      <c r="Z272" s="150"/>
    </row>
    <row r="273" customFormat="false" ht="14.25" hidden="false" customHeight="true" outlineLevel="0" collapsed="false">
      <c r="A273" s="217" t="s">
        <v>341</v>
      </c>
      <c r="B273" s="217" t="s">
        <v>383</v>
      </c>
      <c r="C273" s="228" t="s">
        <v>582</v>
      </c>
      <c r="D273" s="218" t="s">
        <v>583</v>
      </c>
      <c r="E273" s="219" t="s">
        <v>308</v>
      </c>
      <c r="F273" s="220" t="n">
        <v>0.044</v>
      </c>
      <c r="G273" s="221" t="n">
        <f aca="false">ROUND((1-ORCAMENTO!$O$10)*51.49,2)</f>
        <v>51.49</v>
      </c>
      <c r="H273" s="221" t="n">
        <f aca="false">(1-ORCAMENTO!$O$10)*2.26556</f>
        <v>2.26556</v>
      </c>
      <c r="I273" s="222" t="n">
        <f aca="false">(1-ORCAMENTO!$O$10)*2.26556</f>
        <v>2.26556</v>
      </c>
      <c r="J273" s="222" t="n">
        <f aca="false">(1-ORCAMENTO!$O$10)*0</f>
        <v>0</v>
      </c>
      <c r="K273" s="222" t="n">
        <f aca="false">(1-ORCAMENTO!$O$10)*0</f>
        <v>0</v>
      </c>
      <c r="L273" s="222" t="n">
        <f aca="false">(1-ORCAMENTO!$O$10)*0</f>
        <v>0</v>
      </c>
      <c r="M273" s="222" t="n">
        <f aca="false">(1-ORCAMENTO!$O$10)*0</f>
        <v>0</v>
      </c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customFormat="false" ht="14.25" hidden="false" customHeight="true" outlineLevel="0" collapsed="false">
      <c r="A274" s="228"/>
      <c r="B274" s="217"/>
      <c r="C274" s="228"/>
      <c r="D274" s="218"/>
      <c r="E274" s="219"/>
      <c r="F274" s="220"/>
      <c r="G274" s="221"/>
      <c r="H274" s="221"/>
      <c r="I274" s="222"/>
      <c r="J274" s="222"/>
      <c r="K274" s="222"/>
      <c r="L274" s="222"/>
      <c r="M274" s="222"/>
      <c r="N274" s="150"/>
      <c r="O274" s="150"/>
      <c r="P274" s="150"/>
      <c r="Q274" s="150"/>
      <c r="R274" s="150"/>
      <c r="S274" s="150"/>
      <c r="T274" s="150"/>
      <c r="U274" s="150"/>
      <c r="V274" s="150"/>
      <c r="W274" s="150"/>
      <c r="X274" s="150"/>
      <c r="Y274" s="150"/>
      <c r="Z274" s="150"/>
    </row>
    <row r="275" customFormat="false" ht="14.25" hidden="false" customHeight="true" outlineLevel="0" collapsed="false">
      <c r="A275" s="223" t="s">
        <v>163</v>
      </c>
      <c r="B275" s="160" t="s">
        <v>51</v>
      </c>
      <c r="C275" s="223"/>
      <c r="D275" s="224" t="s">
        <v>164</v>
      </c>
      <c r="E275" s="159" t="s">
        <v>62</v>
      </c>
      <c r="F275" s="225"/>
      <c r="G275" s="226"/>
      <c r="H275" s="226" t="n">
        <f aca="false">SUM($I$275:$M$275)</f>
        <v>30.94</v>
      </c>
      <c r="I275" s="227" t="n">
        <f aca="false">ROUND((1-ORCAMENTO!$O$10)*12.93,2)</f>
        <v>12.93</v>
      </c>
      <c r="J275" s="227" t="n">
        <f aca="false">ROUND((1-ORCAMENTO!$O$10)*18.01,2)</f>
        <v>18.01</v>
      </c>
      <c r="K275" s="227" t="n">
        <f aca="false">ROUND((1-ORCAMENTO!$O$10)*0,2)</f>
        <v>0</v>
      </c>
      <c r="L275" s="227" t="n">
        <f aca="false">ROUND((1-ORCAMENTO!$O$10)*0,2)</f>
        <v>0</v>
      </c>
      <c r="M275" s="227" t="n">
        <f aca="false">ROUND((1-ORCAMENTO!$O$10)*0,2)</f>
        <v>0</v>
      </c>
      <c r="N275" s="150"/>
      <c r="O275" s="150"/>
      <c r="P275" s="150"/>
      <c r="Q275" s="150"/>
      <c r="R275" s="150"/>
      <c r="S275" s="150"/>
      <c r="T275" s="150"/>
      <c r="U275" s="150"/>
      <c r="V275" s="150"/>
      <c r="W275" s="150"/>
      <c r="X275" s="150"/>
      <c r="Y275" s="150"/>
      <c r="Z275" s="150"/>
    </row>
    <row r="276" customFormat="false" ht="14.25" hidden="false" customHeight="true" outlineLevel="0" collapsed="false">
      <c r="A276" s="228" t="s">
        <v>341</v>
      </c>
      <c r="B276" s="217" t="s">
        <v>383</v>
      </c>
      <c r="C276" s="228" t="s">
        <v>584</v>
      </c>
      <c r="D276" s="218" t="s">
        <v>585</v>
      </c>
      <c r="E276" s="219" t="s">
        <v>308</v>
      </c>
      <c r="F276" s="220" t="n">
        <v>0.35</v>
      </c>
      <c r="G276" s="221" t="n">
        <f aca="false">ROUND((1-ORCAMENTO!$O$10)*16.51,2)</f>
        <v>16.51</v>
      </c>
      <c r="H276" s="221" t="n">
        <f aca="false">(1-ORCAMENTO!$O$10)*5.7785</f>
        <v>5.7785</v>
      </c>
      <c r="I276" s="222" t="n">
        <f aca="false">(1-ORCAMENTO!$O$10)*5.7785</f>
        <v>5.7785</v>
      </c>
      <c r="J276" s="222" t="n">
        <f aca="false">(1-ORCAMENTO!$O$10)*0</f>
        <v>0</v>
      </c>
      <c r="K276" s="222" t="n">
        <f aca="false">(1-ORCAMENTO!$O$10)*0</f>
        <v>0</v>
      </c>
      <c r="L276" s="222" t="n">
        <f aca="false">(1-ORCAMENTO!$O$10)*0</f>
        <v>0</v>
      </c>
      <c r="M276" s="222" t="n">
        <f aca="false">(1-ORCAMENTO!$O$10)*0</f>
        <v>0</v>
      </c>
      <c r="N276" s="150"/>
      <c r="O276" s="150"/>
      <c r="P276" s="150"/>
      <c r="Q276" s="150"/>
      <c r="R276" s="150"/>
      <c r="S276" s="150"/>
      <c r="T276" s="150"/>
      <c r="U276" s="150"/>
      <c r="V276" s="150"/>
      <c r="W276" s="150"/>
      <c r="X276" s="150"/>
      <c r="Y276" s="150"/>
      <c r="Z276" s="150"/>
    </row>
    <row r="277" customFormat="false" ht="14.25" hidden="false" customHeight="true" outlineLevel="0" collapsed="false">
      <c r="A277" s="228" t="s">
        <v>341</v>
      </c>
      <c r="B277" s="217" t="s">
        <v>69</v>
      </c>
      <c r="C277" s="228" t="s">
        <v>580</v>
      </c>
      <c r="D277" s="218" t="s">
        <v>581</v>
      </c>
      <c r="E277" s="219" t="s">
        <v>71</v>
      </c>
      <c r="F277" s="220" t="n">
        <v>0.5</v>
      </c>
      <c r="G277" s="221" t="n">
        <f aca="false">ROUND((1-ORCAMENTO!$O$10)*33.74,2)</f>
        <v>33.74</v>
      </c>
      <c r="H277" s="221" t="n">
        <f aca="false">(1-ORCAMENTO!$O$10)*16.87</f>
        <v>16.87</v>
      </c>
      <c r="I277" s="222" t="n">
        <f aca="false">(1-ORCAMENTO!$O$10)*4.61</f>
        <v>4.61</v>
      </c>
      <c r="J277" s="222" t="n">
        <f aca="false">(1-ORCAMENTO!$O$10)*12.26</f>
        <v>12.26</v>
      </c>
      <c r="K277" s="222" t="n">
        <f aca="false">(1-ORCAMENTO!$O$10)*0</f>
        <v>0</v>
      </c>
      <c r="L277" s="222" t="n">
        <f aca="false">(1-ORCAMENTO!$O$10)*0</f>
        <v>0</v>
      </c>
      <c r="M277" s="222" t="n">
        <f aca="false">(1-ORCAMENTO!$O$10)*0</f>
        <v>0</v>
      </c>
      <c r="N277" s="150"/>
      <c r="O277" s="150"/>
      <c r="P277" s="150"/>
      <c r="Q277" s="150"/>
      <c r="R277" s="150"/>
      <c r="S277" s="150"/>
      <c r="T277" s="150"/>
      <c r="U277" s="150"/>
      <c r="V277" s="150"/>
      <c r="W277" s="150"/>
      <c r="X277" s="150"/>
      <c r="Y277" s="150"/>
      <c r="Z277" s="150"/>
    </row>
    <row r="278" customFormat="false" ht="14.25" hidden="false" customHeight="true" outlineLevel="0" collapsed="false">
      <c r="A278" s="228" t="s">
        <v>341</v>
      </c>
      <c r="B278" s="217" t="s">
        <v>69</v>
      </c>
      <c r="C278" s="228" t="s">
        <v>348</v>
      </c>
      <c r="D278" s="218" t="s">
        <v>349</v>
      </c>
      <c r="E278" s="219" t="s">
        <v>71</v>
      </c>
      <c r="F278" s="220" t="n">
        <v>0.33</v>
      </c>
      <c r="G278" s="221" t="n">
        <f aca="false">ROUND((1-ORCAMENTO!$O$10)*25.12,2)</f>
        <v>25.12</v>
      </c>
      <c r="H278" s="221" t="n">
        <f aca="false">(1-ORCAMENTO!$O$10)*8.2896</f>
        <v>8.2896</v>
      </c>
      <c r="I278" s="222" t="n">
        <f aca="false">(1-ORCAMENTO!$O$10)*2.541</f>
        <v>2.541</v>
      </c>
      <c r="J278" s="222" t="n">
        <f aca="false">(1-ORCAMENTO!$O$10)*5.7486</f>
        <v>5.7486</v>
      </c>
      <c r="K278" s="222" t="n">
        <f aca="false">(1-ORCAMENTO!$O$10)*0</f>
        <v>0</v>
      </c>
      <c r="L278" s="222" t="n">
        <f aca="false">(1-ORCAMENTO!$O$10)*0</f>
        <v>0</v>
      </c>
      <c r="M278" s="222" t="n">
        <f aca="false">(1-ORCAMENTO!$O$10)*0</f>
        <v>0</v>
      </c>
      <c r="N278" s="150"/>
      <c r="O278" s="150"/>
      <c r="P278" s="150"/>
      <c r="Q278" s="150"/>
      <c r="R278" s="150"/>
      <c r="S278" s="150"/>
      <c r="T278" s="150"/>
      <c r="U278" s="150"/>
      <c r="V278" s="150"/>
      <c r="W278" s="150"/>
      <c r="X278" s="150"/>
      <c r="Y278" s="150"/>
      <c r="Z278" s="150"/>
    </row>
    <row r="279" customFormat="false" ht="14.25" hidden="false" customHeight="true" outlineLevel="0" collapsed="false">
      <c r="A279" s="228"/>
      <c r="B279" s="217"/>
      <c r="C279" s="228"/>
      <c r="D279" s="218"/>
      <c r="E279" s="219"/>
      <c r="F279" s="220"/>
      <c r="G279" s="221"/>
      <c r="H279" s="221"/>
      <c r="I279" s="222"/>
      <c r="J279" s="222"/>
      <c r="K279" s="222"/>
      <c r="L279" s="222"/>
      <c r="M279" s="222"/>
      <c r="N279" s="150"/>
      <c r="O279" s="150"/>
      <c r="P279" s="150"/>
      <c r="Q279" s="150"/>
      <c r="R279" s="150"/>
      <c r="S279" s="150"/>
      <c r="T279" s="150"/>
      <c r="U279" s="150"/>
      <c r="V279" s="150"/>
      <c r="W279" s="150"/>
      <c r="X279" s="150"/>
      <c r="Y279" s="150"/>
      <c r="Z279" s="150"/>
    </row>
    <row r="280" customFormat="false" ht="14.25" hidden="false" customHeight="true" outlineLevel="0" collapsed="false">
      <c r="A280" s="223" t="s">
        <v>191</v>
      </c>
      <c r="B280" s="160" t="s">
        <v>51</v>
      </c>
      <c r="C280" s="223"/>
      <c r="D280" s="224" t="s">
        <v>192</v>
      </c>
      <c r="E280" s="159" t="s">
        <v>62</v>
      </c>
      <c r="F280" s="225"/>
      <c r="G280" s="226"/>
      <c r="H280" s="226" t="n">
        <f aca="false">SUM($I$280:$M$280)</f>
        <v>117.72</v>
      </c>
      <c r="I280" s="227" t="n">
        <f aca="false">ROUND((1-ORCAMENTO!$O$10)*102.19,2)</f>
        <v>102.19</v>
      </c>
      <c r="J280" s="227" t="n">
        <f aca="false">ROUND((1-ORCAMENTO!$O$10)*15.17,2)</f>
        <v>15.17</v>
      </c>
      <c r="K280" s="227" t="n">
        <f aca="false">ROUND((1-ORCAMENTO!$O$10)*0.36,2)</f>
        <v>0.36</v>
      </c>
      <c r="L280" s="227" t="n">
        <f aca="false">ROUND((1-ORCAMENTO!$O$10)*0,2)</f>
        <v>0</v>
      </c>
      <c r="M280" s="227" t="n">
        <f aca="false">ROUND((1-ORCAMENTO!$O$10)*0,2)</f>
        <v>0</v>
      </c>
      <c r="N280" s="150"/>
      <c r="O280" s="150"/>
      <c r="P280" s="150"/>
      <c r="Q280" s="150"/>
      <c r="R280" s="150"/>
      <c r="S280" s="150"/>
      <c r="T280" s="150"/>
      <c r="U280" s="150"/>
      <c r="V280" s="150"/>
      <c r="W280" s="150"/>
      <c r="X280" s="150"/>
      <c r="Y280" s="150"/>
      <c r="Z280" s="150"/>
    </row>
    <row r="281" customFormat="false" ht="14.25" hidden="false" customHeight="true" outlineLevel="0" collapsed="false">
      <c r="A281" s="228" t="s">
        <v>341</v>
      </c>
      <c r="B281" s="217" t="s">
        <v>383</v>
      </c>
      <c r="C281" s="228" t="s">
        <v>586</v>
      </c>
      <c r="D281" s="218" t="s">
        <v>587</v>
      </c>
      <c r="E281" s="219" t="s">
        <v>85</v>
      </c>
      <c r="F281" s="220" t="n">
        <v>0.0065</v>
      </c>
      <c r="G281" s="221" t="n">
        <f aca="false">ROUND((1-ORCAMENTO!$O$10)*115,2)</f>
        <v>115</v>
      </c>
      <c r="H281" s="221" t="n">
        <f aca="false">(1-ORCAMENTO!$O$10)*0.7475</f>
        <v>0.7475</v>
      </c>
      <c r="I281" s="222" t="n">
        <f aca="false">(1-ORCAMENTO!$O$10)*0.7475</f>
        <v>0.7475</v>
      </c>
      <c r="J281" s="222" t="n">
        <f aca="false">(1-ORCAMENTO!$O$10)*0</f>
        <v>0</v>
      </c>
      <c r="K281" s="222" t="n">
        <f aca="false">(1-ORCAMENTO!$O$10)*0</f>
        <v>0</v>
      </c>
      <c r="L281" s="222" t="n">
        <f aca="false">(1-ORCAMENTO!$O$10)*0</f>
        <v>0</v>
      </c>
      <c r="M281" s="222" t="n">
        <f aca="false">(1-ORCAMENTO!$O$10)*0</f>
        <v>0</v>
      </c>
      <c r="N281" s="150"/>
      <c r="O281" s="150"/>
      <c r="P281" s="150"/>
      <c r="Q281" s="150"/>
      <c r="R281" s="150"/>
      <c r="S281" s="150"/>
      <c r="T281" s="150"/>
      <c r="U281" s="150"/>
      <c r="V281" s="150"/>
      <c r="W281" s="150"/>
      <c r="X281" s="150"/>
      <c r="Y281" s="150"/>
      <c r="Z281" s="150"/>
    </row>
    <row r="282" customFormat="false" ht="14.25" hidden="false" customHeight="true" outlineLevel="0" collapsed="false">
      <c r="A282" s="228" t="s">
        <v>341</v>
      </c>
      <c r="B282" s="217" t="s">
        <v>383</v>
      </c>
      <c r="C282" s="228" t="s">
        <v>387</v>
      </c>
      <c r="D282" s="218" t="s">
        <v>388</v>
      </c>
      <c r="E282" s="219" t="s">
        <v>85</v>
      </c>
      <c r="F282" s="220" t="n">
        <v>0.0568</v>
      </c>
      <c r="G282" s="221" t="n">
        <f aca="false">ROUND((1-ORCAMENTO!$O$10)*62.01,2)</f>
        <v>62.01</v>
      </c>
      <c r="H282" s="221" t="n">
        <f aca="false">(1-ORCAMENTO!$O$10)*3.522168</f>
        <v>3.522168</v>
      </c>
      <c r="I282" s="222" t="n">
        <f aca="false">(1-ORCAMENTO!$O$10)*3.522168</f>
        <v>3.522168</v>
      </c>
      <c r="J282" s="222" t="n">
        <f aca="false">(1-ORCAMENTO!$O$10)*0</f>
        <v>0</v>
      </c>
      <c r="K282" s="222" t="n">
        <f aca="false">(1-ORCAMENTO!$O$10)*0</f>
        <v>0</v>
      </c>
      <c r="L282" s="222" t="n">
        <f aca="false">(1-ORCAMENTO!$O$10)*0</f>
        <v>0</v>
      </c>
      <c r="M282" s="222" t="n">
        <f aca="false">(1-ORCAMENTO!$O$10)*0</f>
        <v>0</v>
      </c>
      <c r="N282" s="150"/>
      <c r="O282" s="150"/>
      <c r="P282" s="150"/>
      <c r="Q282" s="150"/>
      <c r="R282" s="150"/>
      <c r="S282" s="150"/>
      <c r="T282" s="150"/>
      <c r="U282" s="150"/>
      <c r="V282" s="150"/>
      <c r="W282" s="150"/>
      <c r="X282" s="150"/>
      <c r="Y282" s="150"/>
      <c r="Z282" s="150"/>
    </row>
    <row r="283" customFormat="false" ht="14.25" hidden="false" customHeight="true" outlineLevel="0" collapsed="false">
      <c r="A283" s="228" t="s">
        <v>341</v>
      </c>
      <c r="B283" s="217" t="s">
        <v>69</v>
      </c>
      <c r="C283" s="228" t="s">
        <v>389</v>
      </c>
      <c r="D283" s="218" t="s">
        <v>390</v>
      </c>
      <c r="E283" s="219" t="s">
        <v>71</v>
      </c>
      <c r="F283" s="220" t="n">
        <v>0.3975</v>
      </c>
      <c r="G283" s="221" t="n">
        <f aca="false">ROUND((1-ORCAMENTO!$O$10)*28.61,2)</f>
        <v>28.61</v>
      </c>
      <c r="H283" s="221" t="n">
        <f aca="false">(1-ORCAMENTO!$O$10)*11.372475</f>
        <v>11.372475</v>
      </c>
      <c r="I283" s="222" t="n">
        <f aca="false">(1-ORCAMENTO!$O$10)*3.128325</f>
        <v>3.128325</v>
      </c>
      <c r="J283" s="222" t="n">
        <f aca="false">(1-ORCAMENTO!$O$10)*8.24415</f>
        <v>8.24415</v>
      </c>
      <c r="K283" s="222" t="n">
        <f aca="false">(1-ORCAMENTO!$O$10)*0</f>
        <v>0</v>
      </c>
      <c r="L283" s="222" t="n">
        <f aca="false">(1-ORCAMENTO!$O$10)*0</f>
        <v>0</v>
      </c>
      <c r="M283" s="222" t="n">
        <f aca="false">(1-ORCAMENTO!$O$10)*0</f>
        <v>0</v>
      </c>
      <c r="N283" s="150"/>
      <c r="O283" s="150"/>
      <c r="P283" s="150"/>
      <c r="Q283" s="150"/>
      <c r="R283" s="150"/>
      <c r="S283" s="150"/>
      <c r="T283" s="150"/>
      <c r="U283" s="150"/>
      <c r="V283" s="150"/>
      <c r="W283" s="150"/>
      <c r="X283" s="150"/>
      <c r="Y283" s="150"/>
      <c r="Z283" s="150"/>
    </row>
    <row r="284" customFormat="false" ht="14.25" hidden="false" customHeight="true" outlineLevel="0" collapsed="false">
      <c r="A284" s="228" t="s">
        <v>341</v>
      </c>
      <c r="B284" s="217" t="s">
        <v>69</v>
      </c>
      <c r="C284" s="228" t="s">
        <v>348</v>
      </c>
      <c r="D284" s="218" t="s">
        <v>349</v>
      </c>
      <c r="E284" s="219" t="s">
        <v>71</v>
      </c>
      <c r="F284" s="220" t="n">
        <v>0.3975</v>
      </c>
      <c r="G284" s="221" t="n">
        <f aca="false">ROUND((1-ORCAMENTO!$O$10)*25.12,2)</f>
        <v>25.12</v>
      </c>
      <c r="H284" s="221" t="n">
        <f aca="false">(1-ORCAMENTO!$O$10)*9.9852</f>
        <v>9.9852</v>
      </c>
      <c r="I284" s="222" t="n">
        <f aca="false">(1-ORCAMENTO!$O$10)*3.06075</f>
        <v>3.06075</v>
      </c>
      <c r="J284" s="222" t="n">
        <f aca="false">(1-ORCAMENTO!$O$10)*6.92445</f>
        <v>6.92445</v>
      </c>
      <c r="K284" s="222" t="n">
        <f aca="false">(1-ORCAMENTO!$O$10)*0</f>
        <v>0</v>
      </c>
      <c r="L284" s="222" t="n">
        <f aca="false">(1-ORCAMENTO!$O$10)*0</f>
        <v>0</v>
      </c>
      <c r="M284" s="222" t="n">
        <f aca="false">(1-ORCAMENTO!$O$10)*0</f>
        <v>0</v>
      </c>
      <c r="N284" s="150"/>
      <c r="O284" s="150"/>
      <c r="P284" s="150"/>
      <c r="Q284" s="150"/>
      <c r="R284" s="150"/>
      <c r="S284" s="150"/>
      <c r="T284" s="150"/>
      <c r="U284" s="150"/>
      <c r="V284" s="150"/>
      <c r="W284" s="150"/>
      <c r="X284" s="150"/>
      <c r="Y284" s="150"/>
      <c r="Z284" s="150"/>
    </row>
    <row r="285" customFormat="false" ht="14.25" hidden="false" customHeight="true" outlineLevel="0" collapsed="false">
      <c r="A285" s="228" t="s">
        <v>341</v>
      </c>
      <c r="B285" s="217" t="s">
        <v>69</v>
      </c>
      <c r="C285" s="228" t="s">
        <v>391</v>
      </c>
      <c r="D285" s="218" t="s">
        <v>392</v>
      </c>
      <c r="E285" s="219" t="s">
        <v>344</v>
      </c>
      <c r="F285" s="220" t="n">
        <v>0.0041</v>
      </c>
      <c r="G285" s="221" t="n">
        <f aca="false">ROUND((1-ORCAMENTO!$O$10)*9.64,2)</f>
        <v>9.64</v>
      </c>
      <c r="H285" s="221" t="n">
        <f aca="false">(1-ORCAMENTO!$O$10)*0.039524</f>
        <v>0.039524</v>
      </c>
      <c r="I285" s="222" t="n">
        <f aca="false">(1-ORCAMENTO!$O$10)*0.035096</f>
        <v>0.035096</v>
      </c>
      <c r="J285" s="222" t="n">
        <f aca="false">(1-ORCAMENTO!$O$10)*0</f>
        <v>0</v>
      </c>
      <c r="K285" s="222" t="n">
        <f aca="false">(1-ORCAMENTO!$O$10)*0.004428</f>
        <v>0.004428</v>
      </c>
      <c r="L285" s="222" t="n">
        <f aca="false">(1-ORCAMENTO!$O$10)*0</f>
        <v>0</v>
      </c>
      <c r="M285" s="222" t="n">
        <f aca="false">(1-ORCAMENTO!$O$10)*0</f>
        <v>0</v>
      </c>
      <c r="N285" s="150"/>
      <c r="O285" s="150"/>
      <c r="P285" s="150"/>
      <c r="Q285" s="150"/>
      <c r="R285" s="150"/>
      <c r="S285" s="150"/>
      <c r="T285" s="150"/>
      <c r="U285" s="150"/>
      <c r="V285" s="150"/>
      <c r="W285" s="150"/>
      <c r="X285" s="150"/>
      <c r="Y285" s="150"/>
      <c r="Z285" s="150"/>
    </row>
    <row r="286" customFormat="false" ht="14.25" hidden="false" customHeight="true" outlineLevel="0" collapsed="false">
      <c r="A286" s="228" t="s">
        <v>341</v>
      </c>
      <c r="B286" s="217" t="s">
        <v>69</v>
      </c>
      <c r="C286" s="228" t="s">
        <v>393</v>
      </c>
      <c r="D286" s="218" t="s">
        <v>394</v>
      </c>
      <c r="E286" s="219" t="s">
        <v>347</v>
      </c>
      <c r="F286" s="220" t="n">
        <v>0.1947</v>
      </c>
      <c r="G286" s="221" t="n">
        <f aca="false">ROUND((1-ORCAMENTO!$O$10)*0.51,2)</f>
        <v>0.51</v>
      </c>
      <c r="H286" s="221" t="n">
        <f aca="false">(1-ORCAMENTO!$O$10)*0.099297</f>
        <v>0.099297</v>
      </c>
      <c r="I286" s="222" t="n">
        <f aca="false">(1-ORCAMENTO!$O$10)*0</f>
        <v>0</v>
      </c>
      <c r="J286" s="222" t="n">
        <f aca="false">(1-ORCAMENTO!$O$10)*0</f>
        <v>0</v>
      </c>
      <c r="K286" s="222" t="n">
        <f aca="false">(1-ORCAMENTO!$O$10)*0.099297</f>
        <v>0.099297</v>
      </c>
      <c r="L286" s="222" t="n">
        <f aca="false">(1-ORCAMENTO!$O$10)*0</f>
        <v>0</v>
      </c>
      <c r="M286" s="222" t="n">
        <f aca="false">(1-ORCAMENTO!$O$10)*0</f>
        <v>0</v>
      </c>
      <c r="N286" s="150"/>
      <c r="O286" s="150"/>
      <c r="P286" s="150"/>
      <c r="Q286" s="150"/>
      <c r="R286" s="150"/>
      <c r="S286" s="150"/>
      <c r="T286" s="150"/>
      <c r="U286" s="150"/>
      <c r="V286" s="150"/>
      <c r="W286" s="150"/>
      <c r="X286" s="150"/>
      <c r="Y286" s="150"/>
      <c r="Z286" s="150"/>
    </row>
    <row r="287" customFormat="false" ht="14.25" hidden="false" customHeight="true" outlineLevel="0" collapsed="false">
      <c r="A287" s="228" t="s">
        <v>341</v>
      </c>
      <c r="B287" s="217" t="s">
        <v>69</v>
      </c>
      <c r="C287" s="228" t="s">
        <v>454</v>
      </c>
      <c r="D287" s="218" t="s">
        <v>455</v>
      </c>
      <c r="E287" s="219" t="s">
        <v>344</v>
      </c>
      <c r="F287" s="220" t="n">
        <v>0.0483</v>
      </c>
      <c r="G287" s="221" t="n">
        <f aca="false">ROUND((1-ORCAMENTO!$O$10)*10.82,2)</f>
        <v>10.82</v>
      </c>
      <c r="H287" s="221" t="n">
        <f aca="false">(1-ORCAMENTO!$O$10)*0.522606</f>
        <v>0.522606</v>
      </c>
      <c r="I287" s="222" t="n">
        <f aca="false">(1-ORCAMENTO!$O$10)*0.416346</f>
        <v>0.416346</v>
      </c>
      <c r="J287" s="222" t="n">
        <f aca="false">(1-ORCAMENTO!$O$10)*0</f>
        <v>0</v>
      </c>
      <c r="K287" s="222" t="n">
        <f aca="false">(1-ORCAMENTO!$O$10)*0.10626</f>
        <v>0.10626</v>
      </c>
      <c r="L287" s="222" t="n">
        <f aca="false">(1-ORCAMENTO!$O$10)*0</f>
        <v>0</v>
      </c>
      <c r="M287" s="222" t="n">
        <f aca="false">(1-ORCAMENTO!$O$10)*0</f>
        <v>0</v>
      </c>
      <c r="N287" s="150"/>
      <c r="O287" s="150"/>
      <c r="P287" s="150"/>
      <c r="Q287" s="150"/>
      <c r="R287" s="150"/>
      <c r="S287" s="150"/>
      <c r="T287" s="150"/>
      <c r="U287" s="150"/>
      <c r="V287" s="150"/>
      <c r="W287" s="150"/>
      <c r="X287" s="150"/>
      <c r="Y287" s="150"/>
      <c r="Z287" s="150"/>
    </row>
    <row r="288" customFormat="false" ht="14.25" hidden="false" customHeight="true" outlineLevel="0" collapsed="false">
      <c r="A288" s="228" t="s">
        <v>341</v>
      </c>
      <c r="B288" s="217" t="s">
        <v>69</v>
      </c>
      <c r="C288" s="228" t="s">
        <v>456</v>
      </c>
      <c r="D288" s="218" t="s">
        <v>457</v>
      </c>
      <c r="E288" s="219" t="s">
        <v>347</v>
      </c>
      <c r="F288" s="220" t="n">
        <v>0.1504</v>
      </c>
      <c r="G288" s="221" t="n">
        <f aca="false">ROUND((1-ORCAMENTO!$O$10)*1.03,2)</f>
        <v>1.03</v>
      </c>
      <c r="H288" s="221" t="n">
        <f aca="false">(1-ORCAMENTO!$O$10)*0.154912</f>
        <v>0.154912</v>
      </c>
      <c r="I288" s="222" t="n">
        <f aca="false">(1-ORCAMENTO!$O$10)*0</f>
        <v>0</v>
      </c>
      <c r="J288" s="222" t="n">
        <f aca="false">(1-ORCAMENTO!$O$10)*0</f>
        <v>0</v>
      </c>
      <c r="K288" s="222" t="n">
        <f aca="false">(1-ORCAMENTO!$O$10)*0.154912</f>
        <v>0.154912</v>
      </c>
      <c r="L288" s="222" t="n">
        <f aca="false">(1-ORCAMENTO!$O$10)*0</f>
        <v>0</v>
      </c>
      <c r="M288" s="222" t="n">
        <f aca="false">(1-ORCAMENTO!$O$10)*0</f>
        <v>0</v>
      </c>
      <c r="N288" s="150"/>
      <c r="O288" s="150"/>
      <c r="P288" s="150"/>
      <c r="Q288" s="150"/>
      <c r="R288" s="150"/>
      <c r="S288" s="150"/>
      <c r="T288" s="150"/>
      <c r="U288" s="150"/>
      <c r="V288" s="150"/>
      <c r="W288" s="150"/>
      <c r="X288" s="150"/>
      <c r="Y288" s="150"/>
      <c r="Z288" s="150"/>
    </row>
    <row r="289" customFormat="false" ht="14.25" hidden="false" customHeight="true" outlineLevel="0" collapsed="false">
      <c r="A289" s="228" t="s">
        <v>341</v>
      </c>
      <c r="B289" s="217" t="s">
        <v>588</v>
      </c>
      <c r="C289" s="228" t="s">
        <v>589</v>
      </c>
      <c r="D289" s="218" t="s">
        <v>590</v>
      </c>
      <c r="E289" s="219" t="s">
        <v>62</v>
      </c>
      <c r="F289" s="220" t="n">
        <v>1.03</v>
      </c>
      <c r="G289" s="221" t="n">
        <f aca="false">ROUND((1-ORCAMENTO!$O$10)*88.62,2)</f>
        <v>88.62</v>
      </c>
      <c r="H289" s="221" t="n">
        <f aca="false">(1-ORCAMENTO!$O$10)*91.2786</f>
        <v>91.2786</v>
      </c>
      <c r="I289" s="222" t="n">
        <f aca="false">(1-ORCAMENTO!$O$10)*91.2786</f>
        <v>91.2786</v>
      </c>
      <c r="J289" s="222" t="n">
        <f aca="false">(1-ORCAMENTO!$O$10)*0</f>
        <v>0</v>
      </c>
      <c r="K289" s="222" t="n">
        <f aca="false">(1-ORCAMENTO!$O$10)*0</f>
        <v>0</v>
      </c>
      <c r="L289" s="222" t="n">
        <f aca="false">(1-ORCAMENTO!$O$10)*0</f>
        <v>0</v>
      </c>
      <c r="M289" s="222" t="n">
        <f aca="false">(1-ORCAMENTO!$O$10)*0</f>
        <v>0</v>
      </c>
      <c r="N289" s="150"/>
      <c r="O289" s="150"/>
      <c r="P289" s="150"/>
      <c r="Q289" s="150"/>
      <c r="R289" s="150"/>
      <c r="S289" s="150"/>
      <c r="T289" s="150"/>
      <c r="U289" s="150"/>
      <c r="V289" s="150"/>
      <c r="W289" s="150"/>
      <c r="X289" s="150"/>
      <c r="Y289" s="150"/>
      <c r="Z289" s="150"/>
    </row>
    <row r="290" customFormat="false" ht="14.25" hidden="false" customHeight="true" outlineLevel="0" collapsed="false">
      <c r="A290" s="228"/>
      <c r="B290" s="217"/>
      <c r="C290" s="228"/>
      <c r="D290" s="218"/>
      <c r="E290" s="219"/>
      <c r="F290" s="220"/>
      <c r="G290" s="221"/>
      <c r="H290" s="221"/>
      <c r="I290" s="222"/>
      <c r="J290" s="222"/>
      <c r="K290" s="222"/>
      <c r="L290" s="222"/>
      <c r="M290" s="222"/>
      <c r="N290" s="150"/>
      <c r="O290" s="150"/>
      <c r="P290" s="150"/>
      <c r="Q290" s="150"/>
      <c r="R290" s="150"/>
      <c r="S290" s="150"/>
      <c r="T290" s="150"/>
      <c r="U290" s="150"/>
      <c r="V290" s="150"/>
      <c r="W290" s="150"/>
      <c r="X290" s="150"/>
      <c r="Y290" s="150"/>
      <c r="Z290" s="150"/>
    </row>
    <row r="291" customFormat="false" ht="14.25" hidden="false" customHeight="true" outlineLevel="0" collapsed="false">
      <c r="A291" s="160" t="s">
        <v>194</v>
      </c>
      <c r="B291" s="160" t="s">
        <v>51</v>
      </c>
      <c r="C291" s="223"/>
      <c r="D291" s="224" t="s">
        <v>195</v>
      </c>
      <c r="E291" s="159" t="s">
        <v>62</v>
      </c>
      <c r="F291" s="225"/>
      <c r="G291" s="226"/>
      <c r="H291" s="226" t="n">
        <f aca="false">SUM($I$291:$M$291)</f>
        <v>117.72</v>
      </c>
      <c r="I291" s="227" t="n">
        <f aca="false">ROUND((1-ORCAMENTO!$O$10)*102.19,2)</f>
        <v>102.19</v>
      </c>
      <c r="J291" s="227" t="n">
        <f aca="false">ROUND((1-ORCAMENTO!$O$10)*15.17,2)</f>
        <v>15.17</v>
      </c>
      <c r="K291" s="227" t="n">
        <f aca="false">ROUND((1-ORCAMENTO!$O$10)*0.36,2)</f>
        <v>0.36</v>
      </c>
      <c r="L291" s="227" t="n">
        <f aca="false">ROUND((1-ORCAMENTO!$O$10)*0,2)</f>
        <v>0</v>
      </c>
      <c r="M291" s="227" t="n">
        <f aca="false">ROUND((1-ORCAMENTO!$O$10)*0,2)</f>
        <v>0</v>
      </c>
      <c r="N291" s="150"/>
      <c r="O291" s="150"/>
      <c r="P291" s="150"/>
      <c r="Q291" s="150"/>
      <c r="R291" s="150"/>
      <c r="S291" s="150"/>
      <c r="T291" s="150"/>
      <c r="U291" s="150"/>
      <c r="V291" s="150"/>
      <c r="W291" s="150"/>
      <c r="X291" s="150"/>
      <c r="Y291" s="150"/>
      <c r="Z291" s="150"/>
    </row>
    <row r="292" customFormat="false" ht="14.25" hidden="false" customHeight="true" outlineLevel="0" collapsed="false">
      <c r="A292" s="228" t="s">
        <v>341</v>
      </c>
      <c r="B292" s="217" t="s">
        <v>383</v>
      </c>
      <c r="C292" s="228" t="s">
        <v>586</v>
      </c>
      <c r="D292" s="218" t="s">
        <v>587</v>
      </c>
      <c r="E292" s="219" t="s">
        <v>85</v>
      </c>
      <c r="F292" s="220" t="n">
        <v>0.0065</v>
      </c>
      <c r="G292" s="221" t="n">
        <f aca="false">ROUND((1-ORCAMENTO!$O$10)*115,2)</f>
        <v>115</v>
      </c>
      <c r="H292" s="221" t="n">
        <f aca="false">(1-ORCAMENTO!$O$10)*0.7475</f>
        <v>0.7475</v>
      </c>
      <c r="I292" s="222" t="n">
        <f aca="false">(1-ORCAMENTO!$O$10)*0.7475</f>
        <v>0.7475</v>
      </c>
      <c r="J292" s="222" t="n">
        <f aca="false">(1-ORCAMENTO!$O$10)*0</f>
        <v>0</v>
      </c>
      <c r="K292" s="222" t="n">
        <f aca="false">(1-ORCAMENTO!$O$10)*0</f>
        <v>0</v>
      </c>
      <c r="L292" s="222" t="n">
        <f aca="false">(1-ORCAMENTO!$O$10)*0</f>
        <v>0</v>
      </c>
      <c r="M292" s="222" t="n">
        <f aca="false">(1-ORCAMENTO!$O$10)*0</f>
        <v>0</v>
      </c>
      <c r="N292" s="150"/>
      <c r="O292" s="150"/>
      <c r="P292" s="150"/>
      <c r="Q292" s="150"/>
      <c r="R292" s="150"/>
      <c r="S292" s="150"/>
      <c r="T292" s="150"/>
      <c r="U292" s="150"/>
      <c r="V292" s="150"/>
      <c r="W292" s="150"/>
      <c r="X292" s="150"/>
      <c r="Y292" s="150"/>
      <c r="Z292" s="150"/>
    </row>
    <row r="293" customFormat="false" ht="14.25" hidden="false" customHeight="true" outlineLevel="0" collapsed="false">
      <c r="A293" s="228" t="s">
        <v>341</v>
      </c>
      <c r="B293" s="217" t="s">
        <v>383</v>
      </c>
      <c r="C293" s="228" t="s">
        <v>387</v>
      </c>
      <c r="D293" s="218" t="s">
        <v>388</v>
      </c>
      <c r="E293" s="219" t="s">
        <v>85</v>
      </c>
      <c r="F293" s="220" t="n">
        <v>0.0568</v>
      </c>
      <c r="G293" s="221" t="n">
        <f aca="false">ROUND((1-ORCAMENTO!$O$10)*62.01,2)</f>
        <v>62.01</v>
      </c>
      <c r="H293" s="221" t="n">
        <f aca="false">(1-ORCAMENTO!$O$10)*3.522168</f>
        <v>3.522168</v>
      </c>
      <c r="I293" s="222" t="n">
        <f aca="false">(1-ORCAMENTO!$O$10)*3.522168</f>
        <v>3.522168</v>
      </c>
      <c r="J293" s="222" t="n">
        <f aca="false">(1-ORCAMENTO!$O$10)*0</f>
        <v>0</v>
      </c>
      <c r="K293" s="222" t="n">
        <f aca="false">(1-ORCAMENTO!$O$10)*0</f>
        <v>0</v>
      </c>
      <c r="L293" s="222" t="n">
        <f aca="false">(1-ORCAMENTO!$O$10)*0</f>
        <v>0</v>
      </c>
      <c r="M293" s="222" t="n">
        <f aca="false">(1-ORCAMENTO!$O$10)*0</f>
        <v>0</v>
      </c>
      <c r="N293" s="150"/>
      <c r="O293" s="150"/>
      <c r="P293" s="150"/>
      <c r="Q293" s="150"/>
      <c r="R293" s="150"/>
      <c r="S293" s="150"/>
      <c r="T293" s="150"/>
      <c r="U293" s="150"/>
      <c r="V293" s="150"/>
      <c r="W293" s="150"/>
      <c r="X293" s="150"/>
      <c r="Y293" s="150"/>
      <c r="Z293" s="150"/>
    </row>
    <row r="294" customFormat="false" ht="14.25" hidden="false" customHeight="true" outlineLevel="0" collapsed="false">
      <c r="A294" s="228" t="s">
        <v>341</v>
      </c>
      <c r="B294" s="217" t="s">
        <v>69</v>
      </c>
      <c r="C294" s="228" t="s">
        <v>389</v>
      </c>
      <c r="D294" s="218" t="s">
        <v>390</v>
      </c>
      <c r="E294" s="219" t="s">
        <v>71</v>
      </c>
      <c r="F294" s="220" t="n">
        <v>0.3975</v>
      </c>
      <c r="G294" s="221" t="n">
        <f aca="false">ROUND((1-ORCAMENTO!$O$10)*28.61,2)</f>
        <v>28.61</v>
      </c>
      <c r="H294" s="221" t="n">
        <f aca="false">(1-ORCAMENTO!$O$10)*11.372475</f>
        <v>11.372475</v>
      </c>
      <c r="I294" s="222" t="n">
        <f aca="false">(1-ORCAMENTO!$O$10)*3.128325</f>
        <v>3.128325</v>
      </c>
      <c r="J294" s="222" t="n">
        <f aca="false">(1-ORCAMENTO!$O$10)*8.24415</f>
        <v>8.24415</v>
      </c>
      <c r="K294" s="222" t="n">
        <f aca="false">(1-ORCAMENTO!$O$10)*0</f>
        <v>0</v>
      </c>
      <c r="L294" s="222" t="n">
        <f aca="false">(1-ORCAMENTO!$O$10)*0</f>
        <v>0</v>
      </c>
      <c r="M294" s="222" t="n">
        <f aca="false">(1-ORCAMENTO!$O$10)*0</f>
        <v>0</v>
      </c>
      <c r="N294" s="150"/>
      <c r="O294" s="150"/>
      <c r="P294" s="150"/>
      <c r="Q294" s="150"/>
      <c r="R294" s="150"/>
      <c r="S294" s="150"/>
      <c r="T294" s="150"/>
      <c r="U294" s="150"/>
      <c r="V294" s="150"/>
      <c r="W294" s="150"/>
      <c r="X294" s="150"/>
      <c r="Y294" s="150"/>
      <c r="Z294" s="150"/>
    </row>
    <row r="295" customFormat="false" ht="14.25" hidden="false" customHeight="true" outlineLevel="0" collapsed="false">
      <c r="A295" s="228" t="s">
        <v>341</v>
      </c>
      <c r="B295" s="217" t="s">
        <v>69</v>
      </c>
      <c r="C295" s="228" t="s">
        <v>348</v>
      </c>
      <c r="D295" s="218" t="s">
        <v>349</v>
      </c>
      <c r="E295" s="219" t="s">
        <v>71</v>
      </c>
      <c r="F295" s="220" t="n">
        <v>0.3975</v>
      </c>
      <c r="G295" s="221" t="n">
        <f aca="false">ROUND((1-ORCAMENTO!$O$10)*25.12,2)</f>
        <v>25.12</v>
      </c>
      <c r="H295" s="221" t="n">
        <f aca="false">(1-ORCAMENTO!$O$10)*9.9852</f>
        <v>9.9852</v>
      </c>
      <c r="I295" s="222" t="n">
        <f aca="false">(1-ORCAMENTO!$O$10)*3.06075</f>
        <v>3.06075</v>
      </c>
      <c r="J295" s="222" t="n">
        <f aca="false">(1-ORCAMENTO!$O$10)*6.92445</f>
        <v>6.92445</v>
      </c>
      <c r="K295" s="222" t="n">
        <f aca="false">(1-ORCAMENTO!$O$10)*0</f>
        <v>0</v>
      </c>
      <c r="L295" s="222" t="n">
        <f aca="false">(1-ORCAMENTO!$O$10)*0</f>
        <v>0</v>
      </c>
      <c r="M295" s="222" t="n">
        <f aca="false">(1-ORCAMENTO!$O$10)*0</f>
        <v>0</v>
      </c>
      <c r="N295" s="150"/>
      <c r="O295" s="150"/>
      <c r="P295" s="150"/>
      <c r="Q295" s="150"/>
      <c r="R295" s="150"/>
      <c r="S295" s="150"/>
      <c r="T295" s="150"/>
      <c r="U295" s="150"/>
      <c r="V295" s="150"/>
      <c r="W295" s="150"/>
      <c r="X295" s="150"/>
      <c r="Y295" s="150"/>
      <c r="Z295" s="150"/>
    </row>
    <row r="296" customFormat="false" ht="14.25" hidden="false" customHeight="true" outlineLevel="0" collapsed="false">
      <c r="A296" s="228" t="s">
        <v>341</v>
      </c>
      <c r="B296" s="217" t="s">
        <v>69</v>
      </c>
      <c r="C296" s="228" t="s">
        <v>391</v>
      </c>
      <c r="D296" s="218" t="s">
        <v>392</v>
      </c>
      <c r="E296" s="219" t="s">
        <v>344</v>
      </c>
      <c r="F296" s="220" t="n">
        <v>0.0041</v>
      </c>
      <c r="G296" s="221" t="n">
        <f aca="false">ROUND((1-ORCAMENTO!$O$10)*9.64,2)</f>
        <v>9.64</v>
      </c>
      <c r="H296" s="221" t="n">
        <f aca="false">(1-ORCAMENTO!$O$10)*0.039524</f>
        <v>0.039524</v>
      </c>
      <c r="I296" s="222" t="n">
        <f aca="false">(1-ORCAMENTO!$O$10)*0.035096</f>
        <v>0.035096</v>
      </c>
      <c r="J296" s="222" t="n">
        <f aca="false">(1-ORCAMENTO!$O$10)*0</f>
        <v>0</v>
      </c>
      <c r="K296" s="222" t="n">
        <f aca="false">(1-ORCAMENTO!$O$10)*0.004428</f>
        <v>0.004428</v>
      </c>
      <c r="L296" s="222" t="n">
        <f aca="false">(1-ORCAMENTO!$O$10)*0</f>
        <v>0</v>
      </c>
      <c r="M296" s="222" t="n">
        <f aca="false">(1-ORCAMENTO!$O$10)*0</f>
        <v>0</v>
      </c>
      <c r="N296" s="150"/>
      <c r="O296" s="150"/>
      <c r="P296" s="150"/>
      <c r="Q296" s="150"/>
      <c r="R296" s="150"/>
      <c r="S296" s="150"/>
      <c r="T296" s="150"/>
      <c r="U296" s="150"/>
      <c r="V296" s="150"/>
      <c r="W296" s="150"/>
      <c r="X296" s="150"/>
      <c r="Y296" s="150"/>
      <c r="Z296" s="150"/>
    </row>
    <row r="297" customFormat="false" ht="14.25" hidden="false" customHeight="true" outlineLevel="0" collapsed="false">
      <c r="A297" s="228" t="s">
        <v>341</v>
      </c>
      <c r="B297" s="217" t="s">
        <v>69</v>
      </c>
      <c r="C297" s="228" t="s">
        <v>393</v>
      </c>
      <c r="D297" s="218" t="s">
        <v>394</v>
      </c>
      <c r="E297" s="219" t="s">
        <v>347</v>
      </c>
      <c r="F297" s="220" t="n">
        <v>0.1947</v>
      </c>
      <c r="G297" s="221" t="n">
        <f aca="false">ROUND((1-ORCAMENTO!$O$10)*0.51,2)</f>
        <v>0.51</v>
      </c>
      <c r="H297" s="221" t="n">
        <f aca="false">(1-ORCAMENTO!$O$10)*0.099297</f>
        <v>0.099297</v>
      </c>
      <c r="I297" s="222" t="n">
        <f aca="false">(1-ORCAMENTO!$O$10)*0</f>
        <v>0</v>
      </c>
      <c r="J297" s="222" t="n">
        <f aca="false">(1-ORCAMENTO!$O$10)*0</f>
        <v>0</v>
      </c>
      <c r="K297" s="222" t="n">
        <f aca="false">(1-ORCAMENTO!$O$10)*0.099297</f>
        <v>0.099297</v>
      </c>
      <c r="L297" s="222" t="n">
        <f aca="false">(1-ORCAMENTO!$O$10)*0</f>
        <v>0</v>
      </c>
      <c r="M297" s="222" t="n">
        <f aca="false">(1-ORCAMENTO!$O$10)*0</f>
        <v>0</v>
      </c>
      <c r="N297" s="150"/>
      <c r="O297" s="150"/>
      <c r="P297" s="150"/>
      <c r="Q297" s="150"/>
      <c r="R297" s="150"/>
      <c r="S297" s="150"/>
      <c r="T297" s="150"/>
      <c r="U297" s="150"/>
      <c r="V297" s="150"/>
      <c r="W297" s="150"/>
      <c r="X297" s="150"/>
      <c r="Y297" s="150"/>
      <c r="Z297" s="150"/>
    </row>
    <row r="298" customFormat="false" ht="14.25" hidden="false" customHeight="true" outlineLevel="0" collapsed="false">
      <c r="A298" s="228" t="s">
        <v>341</v>
      </c>
      <c r="B298" s="217" t="s">
        <v>69</v>
      </c>
      <c r="C298" s="228" t="s">
        <v>454</v>
      </c>
      <c r="D298" s="218" t="s">
        <v>455</v>
      </c>
      <c r="E298" s="219" t="s">
        <v>344</v>
      </c>
      <c r="F298" s="220" t="n">
        <v>0.0483</v>
      </c>
      <c r="G298" s="221" t="n">
        <f aca="false">ROUND((1-ORCAMENTO!$O$10)*10.82,2)</f>
        <v>10.82</v>
      </c>
      <c r="H298" s="221" t="n">
        <f aca="false">(1-ORCAMENTO!$O$10)*0.522606</f>
        <v>0.522606</v>
      </c>
      <c r="I298" s="222" t="n">
        <f aca="false">(1-ORCAMENTO!$O$10)*0.416346</f>
        <v>0.416346</v>
      </c>
      <c r="J298" s="222" t="n">
        <f aca="false">(1-ORCAMENTO!$O$10)*0</f>
        <v>0</v>
      </c>
      <c r="K298" s="222" t="n">
        <f aca="false">(1-ORCAMENTO!$O$10)*0.10626</f>
        <v>0.10626</v>
      </c>
      <c r="L298" s="222" t="n">
        <f aca="false">(1-ORCAMENTO!$O$10)*0</f>
        <v>0</v>
      </c>
      <c r="M298" s="222" t="n">
        <f aca="false">(1-ORCAMENTO!$O$10)*0</f>
        <v>0</v>
      </c>
      <c r="N298" s="150"/>
      <c r="O298" s="150"/>
      <c r="P298" s="150"/>
      <c r="Q298" s="150"/>
      <c r="R298" s="150"/>
      <c r="S298" s="150"/>
      <c r="T298" s="150"/>
      <c r="U298" s="150"/>
      <c r="V298" s="150"/>
      <c r="W298" s="150"/>
      <c r="X298" s="150"/>
      <c r="Y298" s="150"/>
      <c r="Z298" s="150"/>
    </row>
    <row r="299" customFormat="false" ht="14.25" hidden="false" customHeight="true" outlineLevel="0" collapsed="false">
      <c r="A299" s="217" t="s">
        <v>341</v>
      </c>
      <c r="B299" s="217" t="s">
        <v>69</v>
      </c>
      <c r="C299" s="228" t="s">
        <v>456</v>
      </c>
      <c r="D299" s="218" t="s">
        <v>457</v>
      </c>
      <c r="E299" s="219" t="s">
        <v>347</v>
      </c>
      <c r="F299" s="220" t="n">
        <v>0.1504</v>
      </c>
      <c r="G299" s="221" t="n">
        <f aca="false">ROUND((1-ORCAMENTO!$O$10)*1.03,2)</f>
        <v>1.03</v>
      </c>
      <c r="H299" s="221" t="n">
        <f aca="false">(1-ORCAMENTO!$O$10)*0.154912</f>
        <v>0.154912</v>
      </c>
      <c r="I299" s="222" t="n">
        <f aca="false">(1-ORCAMENTO!$O$10)*0</f>
        <v>0</v>
      </c>
      <c r="J299" s="222" t="n">
        <f aca="false">(1-ORCAMENTO!$O$10)*0</f>
        <v>0</v>
      </c>
      <c r="K299" s="222" t="n">
        <f aca="false">(1-ORCAMENTO!$O$10)*0.154912</f>
        <v>0.154912</v>
      </c>
      <c r="L299" s="222" t="n">
        <f aca="false">(1-ORCAMENTO!$O$10)*0</f>
        <v>0</v>
      </c>
      <c r="M299" s="222" t="n">
        <f aca="false">(1-ORCAMENTO!$O$10)*0</f>
        <v>0</v>
      </c>
      <c r="N299" s="150"/>
      <c r="O299" s="150"/>
      <c r="P299" s="150"/>
      <c r="Q299" s="150"/>
      <c r="R299" s="150"/>
      <c r="S299" s="150"/>
      <c r="T299" s="150"/>
      <c r="U299" s="150"/>
      <c r="V299" s="150"/>
      <c r="W299" s="150"/>
      <c r="X299" s="150"/>
      <c r="Y299" s="150"/>
      <c r="Z299" s="150"/>
    </row>
    <row r="300" customFormat="false" ht="14.25" hidden="false" customHeight="true" outlineLevel="0" collapsed="false">
      <c r="A300" s="228" t="s">
        <v>341</v>
      </c>
      <c r="B300" s="217" t="s">
        <v>588</v>
      </c>
      <c r="C300" s="228" t="s">
        <v>589</v>
      </c>
      <c r="D300" s="218" t="s">
        <v>590</v>
      </c>
      <c r="E300" s="219" t="s">
        <v>62</v>
      </c>
      <c r="F300" s="220" t="n">
        <v>1.03</v>
      </c>
      <c r="G300" s="221" t="n">
        <f aca="false">ROUND((1-ORCAMENTO!$O$10)*88.62,2)</f>
        <v>88.62</v>
      </c>
      <c r="H300" s="221" t="n">
        <f aca="false">(1-ORCAMENTO!$O$10)*91.2786</f>
        <v>91.2786</v>
      </c>
      <c r="I300" s="222" t="n">
        <f aca="false">(1-ORCAMENTO!$O$10)*91.2786</f>
        <v>91.2786</v>
      </c>
      <c r="J300" s="222" t="n">
        <f aca="false">(1-ORCAMENTO!$O$10)*0</f>
        <v>0</v>
      </c>
      <c r="K300" s="222" t="n">
        <f aca="false">(1-ORCAMENTO!$O$10)*0</f>
        <v>0</v>
      </c>
      <c r="L300" s="222" t="n">
        <f aca="false">(1-ORCAMENTO!$O$10)*0</f>
        <v>0</v>
      </c>
      <c r="M300" s="222" t="n">
        <f aca="false">(1-ORCAMENTO!$O$10)*0</f>
        <v>0</v>
      </c>
      <c r="N300" s="150"/>
      <c r="O300" s="150"/>
      <c r="P300" s="150"/>
      <c r="Q300" s="150"/>
      <c r="R300" s="150"/>
      <c r="S300" s="150"/>
      <c r="T300" s="150"/>
      <c r="U300" s="150"/>
      <c r="V300" s="150"/>
      <c r="W300" s="150"/>
      <c r="X300" s="150"/>
      <c r="Y300" s="150"/>
      <c r="Z300" s="150"/>
    </row>
    <row r="301" customFormat="false" ht="14.25" hidden="false" customHeight="true" outlineLevel="0" collapsed="false">
      <c r="A301" s="228"/>
      <c r="B301" s="217"/>
      <c r="C301" s="228"/>
      <c r="D301" s="218"/>
      <c r="E301" s="219"/>
      <c r="F301" s="220"/>
      <c r="G301" s="221"/>
      <c r="H301" s="221"/>
      <c r="I301" s="222"/>
      <c r="J301" s="222"/>
      <c r="K301" s="222"/>
      <c r="L301" s="222"/>
      <c r="M301" s="222"/>
      <c r="N301" s="150"/>
      <c r="O301" s="150"/>
      <c r="P301" s="150"/>
      <c r="Q301" s="150"/>
      <c r="R301" s="150"/>
      <c r="S301" s="150"/>
      <c r="T301" s="150"/>
      <c r="U301" s="150"/>
      <c r="V301" s="150"/>
      <c r="W301" s="150"/>
      <c r="X301" s="150"/>
      <c r="Y301" s="150"/>
      <c r="Z301" s="150"/>
    </row>
    <row r="302" customFormat="false" ht="14.25" hidden="false" customHeight="true" outlineLevel="0" collapsed="false">
      <c r="A302" s="160" t="s">
        <v>136</v>
      </c>
      <c r="B302" s="160" t="s">
        <v>51</v>
      </c>
      <c r="C302" s="223"/>
      <c r="D302" s="224" t="s">
        <v>137</v>
      </c>
      <c r="E302" s="159" t="s">
        <v>62</v>
      </c>
      <c r="F302" s="225"/>
      <c r="G302" s="226"/>
      <c r="H302" s="226" t="n">
        <f aca="false">SUM($I$302:$M$302)</f>
        <v>271.77</v>
      </c>
      <c r="I302" s="227" t="n">
        <f aca="false">ROUND((1-ORCAMENTO!$O$10)*266.32,2)</f>
        <v>266.32</v>
      </c>
      <c r="J302" s="227" t="n">
        <f aca="false">ROUND((1-ORCAMENTO!$O$10)*5.45,2)</f>
        <v>5.45</v>
      </c>
      <c r="K302" s="227" t="n">
        <f aca="false">ROUND((1-ORCAMENTO!$O$10)*0,2)</f>
        <v>0</v>
      </c>
      <c r="L302" s="227" t="n">
        <f aca="false">ROUND((1-ORCAMENTO!$O$10)*0,2)</f>
        <v>0</v>
      </c>
      <c r="M302" s="227" t="n">
        <f aca="false">ROUND((1-ORCAMENTO!$O$10)*0,2)</f>
        <v>0</v>
      </c>
      <c r="N302" s="150"/>
      <c r="O302" s="150"/>
      <c r="P302" s="150"/>
      <c r="Q302" s="150"/>
      <c r="R302" s="150"/>
      <c r="S302" s="150"/>
      <c r="T302" s="150"/>
      <c r="U302" s="150"/>
      <c r="V302" s="150"/>
      <c r="W302" s="150"/>
      <c r="X302" s="150"/>
      <c r="Y302" s="150"/>
      <c r="Z302" s="150"/>
    </row>
    <row r="303" customFormat="false" ht="14.25" hidden="false" customHeight="true" outlineLevel="0" collapsed="false">
      <c r="A303" s="228" t="s">
        <v>341</v>
      </c>
      <c r="B303" s="217" t="s">
        <v>383</v>
      </c>
      <c r="C303" s="228" t="s">
        <v>591</v>
      </c>
      <c r="D303" s="218" t="s">
        <v>592</v>
      </c>
      <c r="E303" s="219" t="s">
        <v>127</v>
      </c>
      <c r="F303" s="220" t="n">
        <v>0.4</v>
      </c>
      <c r="G303" s="221" t="n">
        <f aca="false">ROUND((1-ORCAMENTO!$O$10)*40.45,2)</f>
        <v>40.45</v>
      </c>
      <c r="H303" s="221" t="n">
        <f aca="false">(1-ORCAMENTO!$O$10)*16.18</f>
        <v>16.18</v>
      </c>
      <c r="I303" s="222" t="n">
        <f aca="false">(1-ORCAMENTO!$O$10)*16.18</f>
        <v>16.18</v>
      </c>
      <c r="J303" s="222" t="n">
        <f aca="false">(1-ORCAMENTO!$O$10)*0</f>
        <v>0</v>
      </c>
      <c r="K303" s="222" t="n">
        <f aca="false">(1-ORCAMENTO!$O$10)*0</f>
        <v>0</v>
      </c>
      <c r="L303" s="222" t="n">
        <f aca="false">(1-ORCAMENTO!$O$10)*0</f>
        <v>0</v>
      </c>
      <c r="M303" s="222" t="n">
        <f aca="false">(1-ORCAMENTO!$O$10)*0</f>
        <v>0</v>
      </c>
      <c r="N303" s="150"/>
      <c r="O303" s="150"/>
      <c r="P303" s="150"/>
      <c r="Q303" s="150"/>
      <c r="R303" s="150"/>
      <c r="S303" s="150"/>
      <c r="T303" s="150"/>
      <c r="U303" s="150"/>
      <c r="V303" s="150"/>
      <c r="W303" s="150"/>
      <c r="X303" s="150"/>
      <c r="Y303" s="150"/>
      <c r="Z303" s="150"/>
    </row>
    <row r="304" customFormat="false" ht="14.25" hidden="false" customHeight="true" outlineLevel="0" collapsed="false">
      <c r="A304" s="228" t="s">
        <v>341</v>
      </c>
      <c r="B304" s="217" t="s">
        <v>69</v>
      </c>
      <c r="C304" s="228" t="s">
        <v>399</v>
      </c>
      <c r="D304" s="218" t="s">
        <v>400</v>
      </c>
      <c r="E304" s="219" t="s">
        <v>71</v>
      </c>
      <c r="F304" s="220" t="n">
        <v>0.17</v>
      </c>
      <c r="G304" s="221" t="n">
        <f aca="false">ROUND((1-ORCAMENTO!$O$10)*25.41,2)</f>
        <v>25.41</v>
      </c>
      <c r="H304" s="221" t="n">
        <f aca="false">(1-ORCAMENTO!$O$10)*4.3197</f>
        <v>4.3197</v>
      </c>
      <c r="I304" s="222" t="n">
        <f aca="false">(1-ORCAMENTO!$O$10)*1.1288</f>
        <v>1.1288</v>
      </c>
      <c r="J304" s="222" t="n">
        <f aca="false">(1-ORCAMENTO!$O$10)*3.1909</f>
        <v>3.1909</v>
      </c>
      <c r="K304" s="222" t="n">
        <f aca="false">(1-ORCAMENTO!$O$10)*0</f>
        <v>0</v>
      </c>
      <c r="L304" s="222" t="n">
        <f aca="false">(1-ORCAMENTO!$O$10)*0</f>
        <v>0</v>
      </c>
      <c r="M304" s="222" t="n">
        <f aca="false">(1-ORCAMENTO!$O$10)*0</f>
        <v>0</v>
      </c>
      <c r="N304" s="150"/>
      <c r="O304" s="150"/>
      <c r="P304" s="150"/>
      <c r="Q304" s="150"/>
      <c r="R304" s="150"/>
      <c r="S304" s="150"/>
      <c r="T304" s="150"/>
      <c r="U304" s="150"/>
      <c r="V304" s="150"/>
      <c r="W304" s="150"/>
      <c r="X304" s="150"/>
      <c r="Y304" s="150"/>
      <c r="Z304" s="150"/>
    </row>
    <row r="305" customFormat="false" ht="14.25" hidden="false" customHeight="true" outlineLevel="0" collapsed="false">
      <c r="A305" s="228" t="s">
        <v>341</v>
      </c>
      <c r="B305" s="217" t="s">
        <v>69</v>
      </c>
      <c r="C305" s="228" t="s">
        <v>348</v>
      </c>
      <c r="D305" s="218" t="s">
        <v>349</v>
      </c>
      <c r="E305" s="219" t="s">
        <v>71</v>
      </c>
      <c r="F305" s="220" t="n">
        <v>0.17</v>
      </c>
      <c r="G305" s="221" t="n">
        <f aca="false">ROUND((1-ORCAMENTO!$O$10)*19.78,2)</f>
        <v>19.78</v>
      </c>
      <c r="H305" s="221" t="n">
        <f aca="false">(1-ORCAMENTO!$O$10)*3.3626</f>
        <v>3.3626</v>
      </c>
      <c r="I305" s="222" t="n">
        <f aca="false">(1-ORCAMENTO!$O$10)*1.1084</f>
        <v>1.1084</v>
      </c>
      <c r="J305" s="222" t="n">
        <f aca="false">(1-ORCAMENTO!$O$10)*2.2542</f>
        <v>2.2542</v>
      </c>
      <c r="K305" s="222" t="n">
        <f aca="false">(1-ORCAMENTO!$O$10)*0</f>
        <v>0</v>
      </c>
      <c r="L305" s="222" t="n">
        <f aca="false">(1-ORCAMENTO!$O$10)*0</f>
        <v>0</v>
      </c>
      <c r="M305" s="222" t="n">
        <f aca="false">(1-ORCAMENTO!$O$10)*0</f>
        <v>0</v>
      </c>
      <c r="N305" s="150"/>
      <c r="O305" s="150"/>
      <c r="P305" s="150"/>
      <c r="Q305" s="150"/>
      <c r="R305" s="150"/>
      <c r="S305" s="150"/>
      <c r="T305" s="150"/>
      <c r="U305" s="150"/>
      <c r="V305" s="150"/>
      <c r="W305" s="150"/>
      <c r="X305" s="150"/>
      <c r="Y305" s="150"/>
      <c r="Z305" s="150"/>
    </row>
    <row r="306" customFormat="false" ht="14.25" hidden="false" customHeight="true" outlineLevel="0" collapsed="false">
      <c r="A306" s="217" t="s">
        <v>341</v>
      </c>
      <c r="B306" s="217" t="s">
        <v>383</v>
      </c>
      <c r="C306" s="228" t="s">
        <v>593</v>
      </c>
      <c r="D306" s="218" t="s">
        <v>594</v>
      </c>
      <c r="E306" s="219" t="s">
        <v>62</v>
      </c>
      <c r="F306" s="220" t="n">
        <v>1</v>
      </c>
      <c r="G306" s="221" t="n">
        <f aca="false">ROUND((1-ORCAMENTO!$O$10)*247.9,2)</f>
        <v>247.9</v>
      </c>
      <c r="H306" s="221" t="n">
        <f aca="false">(1-ORCAMENTO!$O$10)*247.9</f>
        <v>247.9</v>
      </c>
      <c r="I306" s="222" t="n">
        <f aca="false">(1-ORCAMENTO!$O$10)*247.9</f>
        <v>247.9</v>
      </c>
      <c r="J306" s="222" t="n">
        <f aca="false">(1-ORCAMENTO!$O$10)*0</f>
        <v>0</v>
      </c>
      <c r="K306" s="222" t="n">
        <f aca="false">(1-ORCAMENTO!$O$10)*0</f>
        <v>0</v>
      </c>
      <c r="L306" s="222" t="n">
        <f aca="false">(1-ORCAMENTO!$O$10)*0</f>
        <v>0</v>
      </c>
      <c r="M306" s="222" t="n">
        <f aca="false">(1-ORCAMENTO!$O$10)*0</f>
        <v>0</v>
      </c>
      <c r="N306" s="150"/>
      <c r="O306" s="150"/>
      <c r="P306" s="150"/>
      <c r="Q306" s="150"/>
      <c r="R306" s="150"/>
      <c r="S306" s="150"/>
      <c r="T306" s="150"/>
      <c r="U306" s="150"/>
      <c r="V306" s="150"/>
      <c r="W306" s="150"/>
      <c r="X306" s="150"/>
      <c r="Y306" s="150"/>
      <c r="Z306" s="150"/>
    </row>
    <row r="307" customFormat="false" ht="14.25" hidden="false" customHeight="true" outlineLevel="0" collapsed="false">
      <c r="A307" s="228"/>
      <c r="B307" s="217"/>
      <c r="C307" s="228"/>
      <c r="D307" s="218"/>
      <c r="E307" s="219"/>
      <c r="F307" s="220"/>
      <c r="G307" s="221"/>
      <c r="H307" s="221"/>
      <c r="I307" s="222"/>
      <c r="J307" s="222"/>
      <c r="K307" s="222"/>
      <c r="L307" s="222"/>
      <c r="M307" s="222"/>
      <c r="N307" s="150"/>
      <c r="O307" s="150"/>
      <c r="P307" s="150"/>
      <c r="Q307" s="150"/>
      <c r="R307" s="150"/>
      <c r="S307" s="150"/>
      <c r="T307" s="150"/>
      <c r="U307" s="150"/>
      <c r="V307" s="150"/>
      <c r="W307" s="150"/>
      <c r="X307" s="150"/>
      <c r="Y307" s="150"/>
      <c r="Z307" s="150"/>
    </row>
    <row r="308" customFormat="false" ht="14.25" hidden="false" customHeight="true" outlineLevel="0" collapsed="false">
      <c r="A308" s="160" t="s">
        <v>139</v>
      </c>
      <c r="B308" s="160" t="s">
        <v>51</v>
      </c>
      <c r="C308" s="223"/>
      <c r="D308" s="224" t="s">
        <v>140</v>
      </c>
      <c r="E308" s="159" t="s">
        <v>62</v>
      </c>
      <c r="F308" s="225"/>
      <c r="G308" s="226"/>
      <c r="H308" s="226" t="n">
        <f aca="false">SUM($I$308:$M$308)</f>
        <v>271.77</v>
      </c>
      <c r="I308" s="227" t="n">
        <f aca="false">ROUND((1-ORCAMENTO!$O$10)*266.32,2)</f>
        <v>266.32</v>
      </c>
      <c r="J308" s="227" t="n">
        <f aca="false">ROUND((1-ORCAMENTO!$O$10)*5.45,2)</f>
        <v>5.45</v>
      </c>
      <c r="K308" s="227" t="n">
        <f aca="false">ROUND((1-ORCAMENTO!$O$10)*0,2)</f>
        <v>0</v>
      </c>
      <c r="L308" s="227" t="n">
        <f aca="false">ROUND((1-ORCAMENTO!$O$10)*0,2)</f>
        <v>0</v>
      </c>
      <c r="M308" s="227" t="n">
        <f aca="false">ROUND((1-ORCAMENTO!$O$10)*0,2)</f>
        <v>0</v>
      </c>
      <c r="N308" s="150"/>
      <c r="O308" s="150"/>
      <c r="P308" s="150"/>
      <c r="Q308" s="150"/>
      <c r="R308" s="150"/>
      <c r="S308" s="150"/>
      <c r="T308" s="150"/>
      <c r="U308" s="150"/>
      <c r="V308" s="150"/>
      <c r="W308" s="150"/>
      <c r="X308" s="150"/>
      <c r="Y308" s="150"/>
      <c r="Z308" s="150"/>
    </row>
    <row r="309" customFormat="false" ht="14.25" hidden="false" customHeight="true" outlineLevel="0" collapsed="false">
      <c r="A309" s="217" t="s">
        <v>341</v>
      </c>
      <c r="B309" s="217" t="s">
        <v>383</v>
      </c>
      <c r="C309" s="228" t="s">
        <v>591</v>
      </c>
      <c r="D309" s="218" t="s">
        <v>592</v>
      </c>
      <c r="E309" s="219" t="s">
        <v>127</v>
      </c>
      <c r="F309" s="220" t="n">
        <v>0.4</v>
      </c>
      <c r="G309" s="221" t="n">
        <f aca="false">ROUND((1-ORCAMENTO!$O$10)*40.45,2)</f>
        <v>40.45</v>
      </c>
      <c r="H309" s="221" t="n">
        <f aca="false">(1-ORCAMENTO!$O$10)*16.18</f>
        <v>16.18</v>
      </c>
      <c r="I309" s="222" t="n">
        <f aca="false">(1-ORCAMENTO!$O$10)*16.18</f>
        <v>16.18</v>
      </c>
      <c r="J309" s="222" t="n">
        <f aca="false">(1-ORCAMENTO!$O$10)*0</f>
        <v>0</v>
      </c>
      <c r="K309" s="222" t="n">
        <f aca="false">(1-ORCAMENTO!$O$10)*0</f>
        <v>0</v>
      </c>
      <c r="L309" s="222" t="n">
        <f aca="false">(1-ORCAMENTO!$O$10)*0</f>
        <v>0</v>
      </c>
      <c r="M309" s="222" t="n">
        <f aca="false">(1-ORCAMENTO!$O$10)*0</f>
        <v>0</v>
      </c>
      <c r="N309" s="150"/>
      <c r="O309" s="150"/>
      <c r="P309" s="150"/>
      <c r="Q309" s="150"/>
      <c r="R309" s="150"/>
      <c r="S309" s="150"/>
      <c r="T309" s="150"/>
      <c r="U309" s="150"/>
      <c r="V309" s="150"/>
      <c r="W309" s="150"/>
      <c r="X309" s="150"/>
      <c r="Y309" s="150"/>
      <c r="Z309" s="150"/>
    </row>
    <row r="310" customFormat="false" ht="14.25" hidden="false" customHeight="true" outlineLevel="0" collapsed="false">
      <c r="A310" s="228" t="s">
        <v>341</v>
      </c>
      <c r="B310" s="217" t="s">
        <v>69</v>
      </c>
      <c r="C310" s="228" t="s">
        <v>399</v>
      </c>
      <c r="D310" s="218" t="s">
        <v>400</v>
      </c>
      <c r="E310" s="219" t="s">
        <v>71</v>
      </c>
      <c r="F310" s="220" t="n">
        <v>0.17</v>
      </c>
      <c r="G310" s="221" t="n">
        <f aca="false">ROUND((1-ORCAMENTO!$O$10)*25.41,2)</f>
        <v>25.41</v>
      </c>
      <c r="H310" s="221" t="n">
        <f aca="false">(1-ORCAMENTO!$O$10)*4.3197</f>
        <v>4.3197</v>
      </c>
      <c r="I310" s="222" t="n">
        <f aca="false">(1-ORCAMENTO!$O$10)*1.1288</f>
        <v>1.1288</v>
      </c>
      <c r="J310" s="222" t="n">
        <f aca="false">(1-ORCAMENTO!$O$10)*3.1909</f>
        <v>3.1909</v>
      </c>
      <c r="K310" s="222" t="n">
        <f aca="false">(1-ORCAMENTO!$O$10)*0</f>
        <v>0</v>
      </c>
      <c r="L310" s="222" t="n">
        <f aca="false">(1-ORCAMENTO!$O$10)*0</f>
        <v>0</v>
      </c>
      <c r="M310" s="222" t="n">
        <f aca="false">(1-ORCAMENTO!$O$10)*0</f>
        <v>0</v>
      </c>
      <c r="N310" s="150"/>
      <c r="O310" s="150"/>
      <c r="P310" s="150"/>
      <c r="Q310" s="150"/>
      <c r="R310" s="150"/>
      <c r="S310" s="150"/>
      <c r="T310" s="150"/>
      <c r="U310" s="150"/>
      <c r="V310" s="150"/>
      <c r="W310" s="150"/>
      <c r="X310" s="150"/>
      <c r="Y310" s="150"/>
      <c r="Z310" s="150"/>
    </row>
    <row r="311" customFormat="false" ht="14.25" hidden="false" customHeight="true" outlineLevel="0" collapsed="false">
      <c r="A311" s="228" t="s">
        <v>341</v>
      </c>
      <c r="B311" s="217" t="s">
        <v>69</v>
      </c>
      <c r="C311" s="228" t="s">
        <v>348</v>
      </c>
      <c r="D311" s="218" t="s">
        <v>349</v>
      </c>
      <c r="E311" s="219" t="s">
        <v>71</v>
      </c>
      <c r="F311" s="220" t="n">
        <v>0.17</v>
      </c>
      <c r="G311" s="221" t="n">
        <f aca="false">ROUND((1-ORCAMENTO!$O$10)*19.78,2)</f>
        <v>19.78</v>
      </c>
      <c r="H311" s="221" t="n">
        <f aca="false">(1-ORCAMENTO!$O$10)*3.3626</f>
        <v>3.3626</v>
      </c>
      <c r="I311" s="222" t="n">
        <f aca="false">(1-ORCAMENTO!$O$10)*1.1084</f>
        <v>1.1084</v>
      </c>
      <c r="J311" s="222" t="n">
        <f aca="false">(1-ORCAMENTO!$O$10)*2.2542</f>
        <v>2.2542</v>
      </c>
      <c r="K311" s="222" t="n">
        <f aca="false">(1-ORCAMENTO!$O$10)*0</f>
        <v>0</v>
      </c>
      <c r="L311" s="222" t="n">
        <f aca="false">(1-ORCAMENTO!$O$10)*0</f>
        <v>0</v>
      </c>
      <c r="M311" s="222" t="n">
        <f aca="false">(1-ORCAMENTO!$O$10)*0</f>
        <v>0</v>
      </c>
      <c r="N311" s="150"/>
      <c r="O311" s="150"/>
      <c r="P311" s="150"/>
      <c r="Q311" s="150"/>
      <c r="R311" s="150"/>
      <c r="S311" s="150"/>
      <c r="T311" s="150"/>
      <c r="U311" s="150"/>
      <c r="V311" s="150"/>
      <c r="W311" s="150"/>
      <c r="X311" s="150"/>
      <c r="Y311" s="150"/>
      <c r="Z311" s="150"/>
    </row>
    <row r="312" customFormat="false" ht="14.25" hidden="false" customHeight="true" outlineLevel="0" collapsed="false">
      <c r="A312" s="228" t="s">
        <v>341</v>
      </c>
      <c r="B312" s="217" t="s">
        <v>383</v>
      </c>
      <c r="C312" s="228" t="s">
        <v>593</v>
      </c>
      <c r="D312" s="218" t="s">
        <v>594</v>
      </c>
      <c r="E312" s="219" t="s">
        <v>62</v>
      </c>
      <c r="F312" s="220" t="n">
        <v>1</v>
      </c>
      <c r="G312" s="221" t="n">
        <f aca="false">ROUND((1-ORCAMENTO!$O$10)*247.9,2)</f>
        <v>247.9</v>
      </c>
      <c r="H312" s="221" t="n">
        <f aca="false">(1-ORCAMENTO!$O$10)*247.9</f>
        <v>247.9</v>
      </c>
      <c r="I312" s="222" t="n">
        <f aca="false">(1-ORCAMENTO!$O$10)*247.9</f>
        <v>247.9</v>
      </c>
      <c r="J312" s="222" t="n">
        <f aca="false">(1-ORCAMENTO!$O$10)*0</f>
        <v>0</v>
      </c>
      <c r="K312" s="222" t="n">
        <f aca="false">(1-ORCAMENTO!$O$10)*0</f>
        <v>0</v>
      </c>
      <c r="L312" s="222" t="n">
        <f aca="false">(1-ORCAMENTO!$O$10)*0</f>
        <v>0</v>
      </c>
      <c r="M312" s="222" t="n">
        <f aca="false">(1-ORCAMENTO!$O$10)*0</f>
        <v>0</v>
      </c>
      <c r="N312" s="150"/>
      <c r="O312" s="150"/>
      <c r="P312" s="150"/>
      <c r="Q312" s="150"/>
      <c r="R312" s="150"/>
      <c r="S312" s="150"/>
      <c r="T312" s="150"/>
      <c r="U312" s="150"/>
      <c r="V312" s="150"/>
      <c r="W312" s="150"/>
      <c r="X312" s="150"/>
      <c r="Y312" s="150"/>
      <c r="Z312" s="150"/>
    </row>
    <row r="313" customFormat="false" ht="14.25" hidden="false" customHeight="true" outlineLevel="0" collapsed="false">
      <c r="A313" s="228"/>
      <c r="B313" s="217"/>
      <c r="C313" s="228"/>
      <c r="D313" s="218"/>
      <c r="E313" s="219"/>
      <c r="F313" s="220"/>
      <c r="G313" s="221"/>
      <c r="H313" s="221"/>
      <c r="I313" s="222"/>
      <c r="J313" s="222"/>
      <c r="K313" s="222"/>
      <c r="L313" s="222"/>
      <c r="M313" s="222"/>
      <c r="N313" s="150"/>
      <c r="O313" s="150"/>
      <c r="P313" s="150"/>
      <c r="Q313" s="150"/>
      <c r="R313" s="150"/>
      <c r="S313" s="150"/>
      <c r="T313" s="150"/>
      <c r="U313" s="150"/>
      <c r="V313" s="150"/>
      <c r="W313" s="150"/>
      <c r="X313" s="150"/>
      <c r="Y313" s="150"/>
      <c r="Z313" s="150"/>
    </row>
    <row r="314" customFormat="false" ht="14.25" hidden="false" customHeight="true" outlineLevel="0" collapsed="false">
      <c r="A314" s="160" t="s">
        <v>123</v>
      </c>
      <c r="B314" s="160" t="s">
        <v>51</v>
      </c>
      <c r="C314" s="223"/>
      <c r="D314" s="224" t="s">
        <v>124</v>
      </c>
      <c r="E314" s="159" t="s">
        <v>62</v>
      </c>
      <c r="F314" s="225"/>
      <c r="G314" s="226"/>
      <c r="H314" s="226" t="n">
        <f aca="false">SUM($I$314:$M$314)</f>
        <v>8.11</v>
      </c>
      <c r="I314" s="227" t="n">
        <f aca="false">ROUND((1-ORCAMENTO!$O$10)*3.17,2)</f>
        <v>3.17</v>
      </c>
      <c r="J314" s="227" t="n">
        <f aca="false">ROUND((1-ORCAMENTO!$O$10)*4.94,2)</f>
        <v>4.94</v>
      </c>
      <c r="K314" s="227" t="n">
        <f aca="false">ROUND((1-ORCAMENTO!$O$10)*0,2)</f>
        <v>0</v>
      </c>
      <c r="L314" s="227" t="n">
        <f aca="false">ROUND((1-ORCAMENTO!$O$10)*0,2)</f>
        <v>0</v>
      </c>
      <c r="M314" s="227" t="n">
        <f aca="false">ROUND((1-ORCAMENTO!$O$10)*0,2)</f>
        <v>0</v>
      </c>
      <c r="N314" s="150"/>
      <c r="O314" s="150"/>
      <c r="P314" s="150"/>
      <c r="Q314" s="150"/>
      <c r="R314" s="150"/>
      <c r="S314" s="150"/>
      <c r="T314" s="150"/>
      <c r="U314" s="150"/>
      <c r="V314" s="150"/>
      <c r="W314" s="150"/>
      <c r="X314" s="150"/>
      <c r="Y314" s="150"/>
      <c r="Z314" s="150"/>
    </row>
    <row r="315" customFormat="false" ht="14.25" hidden="false" customHeight="true" outlineLevel="0" collapsed="false">
      <c r="A315" s="228" t="s">
        <v>341</v>
      </c>
      <c r="B315" s="217" t="s">
        <v>383</v>
      </c>
      <c r="C315" s="228" t="s">
        <v>595</v>
      </c>
      <c r="D315" s="218" t="s">
        <v>596</v>
      </c>
      <c r="E315" s="219" t="s">
        <v>62</v>
      </c>
      <c r="F315" s="220" t="n">
        <v>1.1</v>
      </c>
      <c r="G315" s="221" t="n">
        <f aca="false">ROUND((1-ORCAMENTO!$O$10)*1.45,2)</f>
        <v>1.45</v>
      </c>
      <c r="H315" s="221" t="n">
        <f aca="false">(1-ORCAMENTO!$O$10)*1.595</f>
        <v>1.595</v>
      </c>
      <c r="I315" s="222" t="n">
        <f aca="false">(1-ORCAMENTO!$O$10)*1.595</f>
        <v>1.595</v>
      </c>
      <c r="J315" s="222" t="n">
        <f aca="false">(1-ORCAMENTO!$O$10)*0</f>
        <v>0</v>
      </c>
      <c r="K315" s="222" t="n">
        <f aca="false">(1-ORCAMENTO!$O$10)*0</f>
        <v>0</v>
      </c>
      <c r="L315" s="222" t="n">
        <f aca="false">(1-ORCAMENTO!$O$10)*0</f>
        <v>0</v>
      </c>
      <c r="M315" s="222" t="n">
        <f aca="false">(1-ORCAMENTO!$O$10)*0</f>
        <v>0</v>
      </c>
      <c r="N315" s="150"/>
      <c r="O315" s="150"/>
      <c r="P315" s="150"/>
      <c r="Q315" s="150"/>
      <c r="R315" s="150"/>
      <c r="S315" s="150"/>
      <c r="T315" s="150"/>
      <c r="U315" s="150"/>
      <c r="V315" s="150"/>
      <c r="W315" s="150"/>
      <c r="X315" s="150"/>
      <c r="Y315" s="150"/>
      <c r="Z315" s="150"/>
    </row>
    <row r="316" customFormat="false" ht="14.25" hidden="false" customHeight="true" outlineLevel="0" collapsed="false">
      <c r="A316" s="228" t="s">
        <v>341</v>
      </c>
      <c r="B316" s="217" t="s">
        <v>69</v>
      </c>
      <c r="C316" s="228" t="s">
        <v>597</v>
      </c>
      <c r="D316" s="218" t="s">
        <v>598</v>
      </c>
      <c r="E316" s="219" t="s">
        <v>71</v>
      </c>
      <c r="F316" s="220" t="n">
        <v>0.2</v>
      </c>
      <c r="G316" s="221" t="n">
        <f aca="false">ROUND((1-ORCAMENTO!$O$10)*32.55,2)</f>
        <v>32.55</v>
      </c>
      <c r="H316" s="221" t="n">
        <f aca="false">(1-ORCAMENTO!$O$10)*6.51</f>
        <v>6.51</v>
      </c>
      <c r="I316" s="222" t="n">
        <f aca="false">(1-ORCAMENTO!$O$10)*1.574</f>
        <v>1.574</v>
      </c>
      <c r="J316" s="222" t="n">
        <f aca="false">(1-ORCAMENTO!$O$10)*4.936</f>
        <v>4.936</v>
      </c>
      <c r="K316" s="222" t="n">
        <f aca="false">(1-ORCAMENTO!$O$10)*0</f>
        <v>0</v>
      </c>
      <c r="L316" s="222" t="n">
        <f aca="false">(1-ORCAMENTO!$O$10)*0</f>
        <v>0</v>
      </c>
      <c r="M316" s="222" t="n">
        <f aca="false">(1-ORCAMENTO!$O$10)*0</f>
        <v>0</v>
      </c>
      <c r="N316" s="150"/>
      <c r="O316" s="150"/>
      <c r="P316" s="150"/>
      <c r="Q316" s="150"/>
      <c r="R316" s="150"/>
      <c r="S316" s="150"/>
      <c r="T316" s="150"/>
      <c r="U316" s="150"/>
      <c r="V316" s="150"/>
      <c r="W316" s="150"/>
      <c r="X316" s="150"/>
      <c r="Y316" s="150"/>
      <c r="Z316" s="150"/>
    </row>
    <row r="317" customFormat="false" ht="14.25" hidden="false" customHeight="true" outlineLevel="0" collapsed="false">
      <c r="A317" s="228"/>
      <c r="B317" s="217"/>
      <c r="C317" s="228"/>
      <c r="D317" s="218"/>
      <c r="E317" s="219"/>
      <c r="F317" s="220"/>
      <c r="G317" s="221"/>
      <c r="H317" s="221"/>
      <c r="I317" s="222"/>
      <c r="J317" s="222"/>
      <c r="K317" s="222"/>
      <c r="L317" s="222"/>
      <c r="M317" s="222"/>
      <c r="N317" s="150"/>
      <c r="O317" s="150"/>
      <c r="P317" s="150"/>
      <c r="Q317" s="150"/>
      <c r="R317" s="150"/>
      <c r="S317" s="150"/>
      <c r="T317" s="150"/>
      <c r="U317" s="150"/>
      <c r="V317" s="150"/>
      <c r="W317" s="150"/>
      <c r="X317" s="150"/>
      <c r="Y317" s="150"/>
      <c r="Z317" s="150"/>
    </row>
    <row r="318" customFormat="false" ht="14.25" hidden="false" customHeight="true" outlineLevel="0" collapsed="false">
      <c r="A318" s="223" t="s">
        <v>118</v>
      </c>
      <c r="B318" s="160" t="s">
        <v>51</v>
      </c>
      <c r="C318" s="223"/>
      <c r="D318" s="224" t="s">
        <v>119</v>
      </c>
      <c r="E318" s="159" t="s">
        <v>62</v>
      </c>
      <c r="F318" s="225"/>
      <c r="G318" s="226"/>
      <c r="H318" s="226" t="n">
        <f aca="false">SUM($I$318:$M$318)</f>
        <v>92.86</v>
      </c>
      <c r="I318" s="227" t="n">
        <f aca="false">ROUND((1-ORCAMENTO!$O$10)*82.61,2)</f>
        <v>82.61</v>
      </c>
      <c r="J318" s="227" t="n">
        <f aca="false">ROUND((1-ORCAMENTO!$O$10)*10.04,2)</f>
        <v>10.04</v>
      </c>
      <c r="K318" s="227" t="n">
        <f aca="false">ROUND((1-ORCAMENTO!$O$10)*0.21,2)</f>
        <v>0.21</v>
      </c>
      <c r="L318" s="227" t="n">
        <f aca="false">ROUND((1-ORCAMENTO!$O$10)*0,2)</f>
        <v>0</v>
      </c>
      <c r="M318" s="227" t="n">
        <f aca="false">ROUND((1-ORCAMENTO!$O$10)*0,2)</f>
        <v>0</v>
      </c>
      <c r="N318" s="150"/>
      <c r="O318" s="150"/>
      <c r="P318" s="150"/>
      <c r="Q318" s="150"/>
      <c r="R318" s="150"/>
      <c r="S318" s="150"/>
      <c r="T318" s="150"/>
      <c r="U318" s="150"/>
      <c r="V318" s="150"/>
      <c r="W318" s="150"/>
      <c r="X318" s="150"/>
      <c r="Y318" s="150"/>
      <c r="Z318" s="150"/>
    </row>
    <row r="319" customFormat="false" ht="14.25" hidden="false" customHeight="true" outlineLevel="0" collapsed="false">
      <c r="A319" s="228" t="s">
        <v>341</v>
      </c>
      <c r="B319" s="217" t="s">
        <v>383</v>
      </c>
      <c r="C319" s="228" t="s">
        <v>384</v>
      </c>
      <c r="D319" s="218" t="s">
        <v>385</v>
      </c>
      <c r="E319" s="219" t="s">
        <v>85</v>
      </c>
      <c r="F319" s="220" t="n">
        <v>0.0568</v>
      </c>
      <c r="G319" s="221" t="n">
        <f aca="false">ROUND((1-ORCAMENTO!$O$10)*115,2)</f>
        <v>115</v>
      </c>
      <c r="H319" s="221" t="n">
        <f aca="false">(1-ORCAMENTO!$O$10)*6.532</f>
        <v>6.532</v>
      </c>
      <c r="I319" s="222" t="n">
        <f aca="false">(1-ORCAMENTO!$O$10)*6.532</f>
        <v>6.532</v>
      </c>
      <c r="J319" s="222" t="n">
        <f aca="false">(1-ORCAMENTO!$O$10)*0</f>
        <v>0</v>
      </c>
      <c r="K319" s="222" t="n">
        <f aca="false">(1-ORCAMENTO!$O$10)*0</f>
        <v>0</v>
      </c>
      <c r="L319" s="222" t="n">
        <f aca="false">(1-ORCAMENTO!$O$10)*0</f>
        <v>0</v>
      </c>
      <c r="M319" s="222" t="n">
        <f aca="false">(1-ORCAMENTO!$O$10)*0</f>
        <v>0</v>
      </c>
      <c r="N319" s="150"/>
      <c r="O319" s="150"/>
      <c r="P319" s="150"/>
      <c r="Q319" s="150"/>
      <c r="R319" s="150"/>
      <c r="S319" s="150"/>
      <c r="T319" s="150"/>
      <c r="U319" s="150"/>
      <c r="V319" s="150"/>
      <c r="W319" s="150"/>
      <c r="X319" s="150"/>
      <c r="Y319" s="150"/>
      <c r="Z319" s="150"/>
    </row>
    <row r="320" customFormat="false" ht="14.25" hidden="false" customHeight="true" outlineLevel="0" collapsed="false">
      <c r="A320" s="228" t="s">
        <v>341</v>
      </c>
      <c r="B320" s="217" t="s">
        <v>383</v>
      </c>
      <c r="C320" s="228" t="s">
        <v>387</v>
      </c>
      <c r="D320" s="218" t="s">
        <v>388</v>
      </c>
      <c r="E320" s="219" t="s">
        <v>85</v>
      </c>
      <c r="F320" s="220" t="n">
        <v>0.0098</v>
      </c>
      <c r="G320" s="221" t="n">
        <f aca="false">ROUND((1-ORCAMENTO!$O$10)*62.01,2)</f>
        <v>62.01</v>
      </c>
      <c r="H320" s="221" t="n">
        <f aca="false">(1-ORCAMENTO!$O$10)*0.607698</f>
        <v>0.607698</v>
      </c>
      <c r="I320" s="222" t="n">
        <f aca="false">(1-ORCAMENTO!$O$10)*0.607698</f>
        <v>0.607698</v>
      </c>
      <c r="J320" s="222" t="n">
        <f aca="false">(1-ORCAMENTO!$O$10)*0</f>
        <v>0</v>
      </c>
      <c r="K320" s="222" t="n">
        <f aca="false">(1-ORCAMENTO!$O$10)*0</f>
        <v>0</v>
      </c>
      <c r="L320" s="222" t="n">
        <f aca="false">(1-ORCAMENTO!$O$10)*0</f>
        <v>0</v>
      </c>
      <c r="M320" s="222" t="n">
        <f aca="false">(1-ORCAMENTO!$O$10)*0</f>
        <v>0</v>
      </c>
      <c r="N320" s="150"/>
      <c r="O320" s="150"/>
      <c r="P320" s="150"/>
      <c r="Q320" s="150"/>
      <c r="R320" s="150"/>
      <c r="S320" s="150"/>
      <c r="T320" s="150"/>
      <c r="U320" s="150"/>
      <c r="V320" s="150"/>
      <c r="W320" s="150"/>
      <c r="X320" s="150"/>
      <c r="Y320" s="150"/>
      <c r="Z320" s="150"/>
    </row>
    <row r="321" customFormat="false" ht="14.25" hidden="false" customHeight="true" outlineLevel="0" collapsed="false">
      <c r="A321" s="217" t="s">
        <v>341</v>
      </c>
      <c r="B321" s="217" t="s">
        <v>69</v>
      </c>
      <c r="C321" s="228" t="s">
        <v>389</v>
      </c>
      <c r="D321" s="218" t="s">
        <v>390</v>
      </c>
      <c r="E321" s="219" t="s">
        <v>71</v>
      </c>
      <c r="F321" s="220" t="n">
        <v>0.2632</v>
      </c>
      <c r="G321" s="221" t="n">
        <f aca="false">ROUND((1-ORCAMENTO!$O$10)*28.61,2)</f>
        <v>28.61</v>
      </c>
      <c r="H321" s="221" t="n">
        <f aca="false">(1-ORCAMENTO!$O$10)*7.530152</f>
        <v>7.530152</v>
      </c>
      <c r="I321" s="222" t="n">
        <f aca="false">(1-ORCAMENTO!$O$10)*2.071384</f>
        <v>2.071384</v>
      </c>
      <c r="J321" s="222" t="n">
        <f aca="false">(1-ORCAMENTO!$O$10)*5.458768</f>
        <v>5.458768</v>
      </c>
      <c r="K321" s="222" t="n">
        <f aca="false">(1-ORCAMENTO!$O$10)*0</f>
        <v>0</v>
      </c>
      <c r="L321" s="222" t="n">
        <f aca="false">(1-ORCAMENTO!$O$10)*0</f>
        <v>0</v>
      </c>
      <c r="M321" s="222" t="n">
        <f aca="false">(1-ORCAMENTO!$O$10)*0</f>
        <v>0</v>
      </c>
      <c r="N321" s="150"/>
      <c r="O321" s="150"/>
      <c r="P321" s="150"/>
      <c r="Q321" s="150"/>
      <c r="R321" s="150"/>
      <c r="S321" s="150"/>
      <c r="T321" s="150"/>
      <c r="U321" s="150"/>
      <c r="V321" s="150"/>
      <c r="W321" s="150"/>
      <c r="X321" s="150"/>
      <c r="Y321" s="150"/>
      <c r="Z321" s="150"/>
    </row>
    <row r="322" customFormat="false" ht="14.25" hidden="false" customHeight="true" outlineLevel="0" collapsed="false">
      <c r="A322" s="228" t="s">
        <v>341</v>
      </c>
      <c r="B322" s="217" t="s">
        <v>69</v>
      </c>
      <c r="C322" s="228" t="s">
        <v>348</v>
      </c>
      <c r="D322" s="218" t="s">
        <v>349</v>
      </c>
      <c r="E322" s="219" t="s">
        <v>71</v>
      </c>
      <c r="F322" s="220" t="n">
        <v>0.2632</v>
      </c>
      <c r="G322" s="221" t="n">
        <f aca="false">ROUND((1-ORCAMENTO!$O$10)*25.12,2)</f>
        <v>25.12</v>
      </c>
      <c r="H322" s="221" t="n">
        <f aca="false">(1-ORCAMENTO!$O$10)*6.611584</f>
        <v>6.611584</v>
      </c>
      <c r="I322" s="222" t="n">
        <f aca="false">(1-ORCAMENTO!$O$10)*2.02664</f>
        <v>2.02664</v>
      </c>
      <c r="J322" s="222" t="n">
        <f aca="false">(1-ORCAMENTO!$O$10)*4.584944</f>
        <v>4.584944</v>
      </c>
      <c r="K322" s="222" t="n">
        <f aca="false">(1-ORCAMENTO!$O$10)*0</f>
        <v>0</v>
      </c>
      <c r="L322" s="222" t="n">
        <f aca="false">(1-ORCAMENTO!$O$10)*0</f>
        <v>0</v>
      </c>
      <c r="M322" s="222" t="n">
        <f aca="false">(1-ORCAMENTO!$O$10)*0</f>
        <v>0</v>
      </c>
      <c r="N322" s="150"/>
      <c r="O322" s="150"/>
      <c r="P322" s="150"/>
      <c r="Q322" s="150"/>
      <c r="R322" s="150"/>
      <c r="S322" s="150"/>
      <c r="T322" s="150"/>
      <c r="U322" s="150"/>
      <c r="V322" s="150"/>
      <c r="W322" s="150"/>
      <c r="X322" s="150"/>
      <c r="Y322" s="150"/>
      <c r="Z322" s="150"/>
    </row>
    <row r="323" customFormat="false" ht="14.25" hidden="false" customHeight="true" outlineLevel="0" collapsed="false">
      <c r="A323" s="228" t="s">
        <v>341</v>
      </c>
      <c r="B323" s="217" t="s">
        <v>69</v>
      </c>
      <c r="C323" s="228" t="s">
        <v>391</v>
      </c>
      <c r="D323" s="218" t="s">
        <v>392</v>
      </c>
      <c r="E323" s="219" t="s">
        <v>344</v>
      </c>
      <c r="F323" s="220" t="n">
        <v>0.0055</v>
      </c>
      <c r="G323" s="221" t="n">
        <f aca="false">ROUND((1-ORCAMENTO!$O$10)*9.64,2)</f>
        <v>9.64</v>
      </c>
      <c r="H323" s="221" t="n">
        <f aca="false">(1-ORCAMENTO!$O$10)*0.05302</f>
        <v>0.05302</v>
      </c>
      <c r="I323" s="222" t="n">
        <f aca="false">(1-ORCAMENTO!$O$10)*0.04708</f>
        <v>0.04708</v>
      </c>
      <c r="J323" s="222" t="n">
        <f aca="false">(1-ORCAMENTO!$O$10)*0</f>
        <v>0</v>
      </c>
      <c r="K323" s="222" t="n">
        <f aca="false">(1-ORCAMENTO!$O$10)*0.00594</f>
        <v>0.00594</v>
      </c>
      <c r="L323" s="222" t="n">
        <f aca="false">(1-ORCAMENTO!$O$10)*0</f>
        <v>0</v>
      </c>
      <c r="M323" s="222" t="n">
        <f aca="false">(1-ORCAMENTO!$O$10)*0</f>
        <v>0</v>
      </c>
      <c r="N323" s="150"/>
      <c r="O323" s="150"/>
      <c r="P323" s="150"/>
      <c r="Q323" s="150"/>
      <c r="R323" s="150"/>
      <c r="S323" s="150"/>
      <c r="T323" s="150"/>
      <c r="U323" s="150"/>
      <c r="V323" s="150"/>
      <c r="W323" s="150"/>
      <c r="X323" s="150"/>
      <c r="Y323" s="150"/>
      <c r="Z323" s="150"/>
    </row>
    <row r="324" customFormat="false" ht="14.25" hidden="false" customHeight="true" outlineLevel="0" collapsed="false">
      <c r="A324" s="217" t="s">
        <v>341</v>
      </c>
      <c r="B324" s="217" t="s">
        <v>69</v>
      </c>
      <c r="C324" s="228" t="s">
        <v>393</v>
      </c>
      <c r="D324" s="218" t="s">
        <v>394</v>
      </c>
      <c r="E324" s="219" t="s">
        <v>347</v>
      </c>
      <c r="F324" s="220" t="n">
        <v>0.1261</v>
      </c>
      <c r="G324" s="221" t="n">
        <f aca="false">ROUND((1-ORCAMENTO!$O$10)*0.51,2)</f>
        <v>0.51</v>
      </c>
      <c r="H324" s="221" t="n">
        <f aca="false">(1-ORCAMENTO!$O$10)*0.064311</f>
        <v>0.064311</v>
      </c>
      <c r="I324" s="222" t="n">
        <f aca="false">(1-ORCAMENTO!$O$10)*0</f>
        <v>0</v>
      </c>
      <c r="J324" s="222" t="n">
        <f aca="false">(1-ORCAMENTO!$O$10)*0</f>
        <v>0</v>
      </c>
      <c r="K324" s="222" t="n">
        <f aca="false">(1-ORCAMENTO!$O$10)*0.064311</f>
        <v>0.064311</v>
      </c>
      <c r="L324" s="222" t="n">
        <f aca="false">(1-ORCAMENTO!$O$10)*0</f>
        <v>0</v>
      </c>
      <c r="M324" s="222" t="n">
        <f aca="false">(1-ORCAMENTO!$O$10)*0</f>
        <v>0</v>
      </c>
      <c r="N324" s="150"/>
      <c r="O324" s="150"/>
      <c r="P324" s="150"/>
      <c r="Q324" s="150"/>
      <c r="R324" s="150"/>
      <c r="S324" s="150"/>
      <c r="T324" s="150"/>
      <c r="U324" s="150"/>
      <c r="V324" s="150"/>
      <c r="W324" s="150"/>
      <c r="X324" s="150"/>
      <c r="Y324" s="150"/>
      <c r="Z324" s="150"/>
    </row>
    <row r="325" customFormat="false" ht="14.25" hidden="false" customHeight="true" outlineLevel="0" collapsed="false">
      <c r="A325" s="228" t="s">
        <v>341</v>
      </c>
      <c r="B325" s="217" t="s">
        <v>69</v>
      </c>
      <c r="C325" s="228" t="s">
        <v>454</v>
      </c>
      <c r="D325" s="218" t="s">
        <v>455</v>
      </c>
      <c r="E325" s="219" t="s">
        <v>344</v>
      </c>
      <c r="F325" s="220" t="n">
        <v>0.0038</v>
      </c>
      <c r="G325" s="221" t="n">
        <f aca="false">ROUND((1-ORCAMENTO!$O$10)*10.82,2)</f>
        <v>10.82</v>
      </c>
      <c r="H325" s="221" t="n">
        <f aca="false">(1-ORCAMENTO!$O$10)*0.041116</f>
        <v>0.041116</v>
      </c>
      <c r="I325" s="222" t="n">
        <f aca="false">(1-ORCAMENTO!$O$10)*0.032756</f>
        <v>0.032756</v>
      </c>
      <c r="J325" s="222" t="n">
        <f aca="false">(1-ORCAMENTO!$O$10)*0</f>
        <v>0</v>
      </c>
      <c r="K325" s="222" t="n">
        <f aca="false">(1-ORCAMENTO!$O$10)*0.00836</f>
        <v>0.00836</v>
      </c>
      <c r="L325" s="222" t="n">
        <f aca="false">(1-ORCAMENTO!$O$10)*0</f>
        <v>0</v>
      </c>
      <c r="M325" s="222" t="n">
        <f aca="false">(1-ORCAMENTO!$O$10)*0</f>
        <v>0</v>
      </c>
      <c r="N325" s="150"/>
      <c r="O325" s="150"/>
      <c r="P325" s="150"/>
      <c r="Q325" s="150"/>
      <c r="R325" s="150"/>
      <c r="S325" s="150"/>
      <c r="T325" s="150"/>
      <c r="U325" s="150"/>
      <c r="V325" s="150"/>
      <c r="W325" s="150"/>
      <c r="X325" s="150"/>
      <c r="Y325" s="150"/>
      <c r="Z325" s="150"/>
    </row>
    <row r="326" customFormat="false" ht="14.25" hidden="false" customHeight="true" outlineLevel="0" collapsed="false">
      <c r="A326" s="228" t="s">
        <v>341</v>
      </c>
      <c r="B326" s="217" t="s">
        <v>69</v>
      </c>
      <c r="C326" s="228" t="s">
        <v>456</v>
      </c>
      <c r="D326" s="218" t="s">
        <v>457</v>
      </c>
      <c r="E326" s="219" t="s">
        <v>347</v>
      </c>
      <c r="F326" s="220" t="n">
        <v>0.1278</v>
      </c>
      <c r="G326" s="221" t="n">
        <f aca="false">ROUND((1-ORCAMENTO!$O$10)*1.03,2)</f>
        <v>1.03</v>
      </c>
      <c r="H326" s="221" t="n">
        <f aca="false">(1-ORCAMENTO!$O$10)*0.131634</f>
        <v>0.131634</v>
      </c>
      <c r="I326" s="222" t="n">
        <f aca="false">(1-ORCAMENTO!$O$10)*0</f>
        <v>0</v>
      </c>
      <c r="J326" s="222" t="n">
        <f aca="false">(1-ORCAMENTO!$O$10)*0</f>
        <v>0</v>
      </c>
      <c r="K326" s="222" t="n">
        <f aca="false">(1-ORCAMENTO!$O$10)*0.131634</f>
        <v>0.131634</v>
      </c>
      <c r="L326" s="222" t="n">
        <f aca="false">(1-ORCAMENTO!$O$10)*0</f>
        <v>0</v>
      </c>
      <c r="M326" s="222" t="n">
        <f aca="false">(1-ORCAMENTO!$O$10)*0</f>
        <v>0</v>
      </c>
      <c r="N326" s="150"/>
      <c r="O326" s="150"/>
      <c r="P326" s="150"/>
      <c r="Q326" s="150"/>
      <c r="R326" s="150"/>
      <c r="S326" s="150"/>
      <c r="T326" s="150"/>
      <c r="U326" s="150"/>
      <c r="V326" s="150"/>
      <c r="W326" s="150"/>
      <c r="X326" s="150"/>
      <c r="Y326" s="150"/>
      <c r="Z326" s="150"/>
    </row>
    <row r="327" customFormat="false" ht="14.25" hidden="false" customHeight="true" outlineLevel="0" collapsed="false">
      <c r="A327" s="228" t="s">
        <v>341</v>
      </c>
      <c r="B327" s="217" t="s">
        <v>599</v>
      </c>
      <c r="C327" s="228" t="s">
        <v>600</v>
      </c>
      <c r="D327" s="218" t="s">
        <v>460</v>
      </c>
      <c r="E327" s="219" t="s">
        <v>62</v>
      </c>
      <c r="F327" s="220" t="n">
        <v>1.0041</v>
      </c>
      <c r="G327" s="221" t="n">
        <f aca="false">ROUND((1-ORCAMENTO!$O$10)*71,2)</f>
        <v>71</v>
      </c>
      <c r="H327" s="221" t="n">
        <f aca="false">(1-ORCAMENTO!$O$10)*71.2911</f>
        <v>71.2911</v>
      </c>
      <c r="I327" s="222" t="n">
        <f aca="false">(1-ORCAMENTO!$O$10)*71.2911</f>
        <v>71.2911</v>
      </c>
      <c r="J327" s="222" t="n">
        <f aca="false">(1-ORCAMENTO!$O$10)*0</f>
        <v>0</v>
      </c>
      <c r="K327" s="222" t="n">
        <f aca="false">(1-ORCAMENTO!$O$10)*0</f>
        <v>0</v>
      </c>
      <c r="L327" s="222" t="n">
        <f aca="false">(1-ORCAMENTO!$O$10)*0</f>
        <v>0</v>
      </c>
      <c r="M327" s="222" t="n">
        <f aca="false">(1-ORCAMENTO!$O$10)*0</f>
        <v>0</v>
      </c>
      <c r="N327" s="150"/>
      <c r="O327" s="150"/>
      <c r="P327" s="150"/>
      <c r="Q327" s="150"/>
      <c r="R327" s="150"/>
      <c r="S327" s="150"/>
      <c r="T327" s="150"/>
      <c r="U327" s="150"/>
      <c r="V327" s="150"/>
      <c r="W327" s="150"/>
      <c r="X327" s="150"/>
      <c r="Y327" s="150"/>
      <c r="Z327" s="150"/>
    </row>
    <row r="328" customFormat="false" ht="14.25" hidden="false" customHeight="true" outlineLevel="0" collapsed="false">
      <c r="A328" s="228"/>
      <c r="B328" s="217"/>
      <c r="C328" s="228"/>
      <c r="D328" s="218"/>
      <c r="E328" s="219"/>
      <c r="F328" s="220"/>
      <c r="G328" s="221"/>
      <c r="H328" s="221"/>
      <c r="I328" s="222"/>
      <c r="J328" s="222"/>
      <c r="K328" s="222"/>
      <c r="L328" s="222"/>
      <c r="M328" s="222"/>
      <c r="N328" s="150"/>
      <c r="O328" s="150"/>
      <c r="P328" s="150"/>
      <c r="Q328" s="150"/>
      <c r="R328" s="150"/>
      <c r="S328" s="150"/>
      <c r="T328" s="150"/>
      <c r="U328" s="150"/>
      <c r="V328" s="150"/>
      <c r="W328" s="150"/>
      <c r="X328" s="150"/>
      <c r="Y328" s="150"/>
      <c r="Z328" s="150"/>
    </row>
    <row r="329" customFormat="false" ht="14.25" hidden="false" customHeight="true" outlineLevel="0" collapsed="false">
      <c r="A329" s="223" t="s">
        <v>52</v>
      </c>
      <c r="B329" s="160" t="s">
        <v>51</v>
      </c>
      <c r="C329" s="223"/>
      <c r="D329" s="224" t="s">
        <v>53</v>
      </c>
      <c r="E329" s="159" t="s">
        <v>54</v>
      </c>
      <c r="F329" s="225"/>
      <c r="G329" s="226"/>
      <c r="H329" s="226" t="n">
        <f aca="false">SUM($I$329:$M$329)</f>
        <v>254.59</v>
      </c>
      <c r="I329" s="227" t="n">
        <f aca="false">ROUND((1-ORCAMENTO!$O$10)*254.59,2)</f>
        <v>254.59</v>
      </c>
      <c r="J329" s="227" t="n">
        <f aca="false">ROUND((1-ORCAMENTO!$O$10)*0,2)</f>
        <v>0</v>
      </c>
      <c r="K329" s="227" t="n">
        <f aca="false">ROUND((1-ORCAMENTO!$O$10)*0,2)</f>
        <v>0</v>
      </c>
      <c r="L329" s="227" t="n">
        <f aca="false">ROUND((1-ORCAMENTO!$O$10)*0,2)</f>
        <v>0</v>
      </c>
      <c r="M329" s="227" t="n">
        <f aca="false">ROUND((1-ORCAMENTO!$O$10)*0,2)</f>
        <v>0</v>
      </c>
      <c r="N329" s="150"/>
      <c r="O329" s="150"/>
      <c r="P329" s="150"/>
      <c r="Q329" s="150"/>
      <c r="R329" s="150"/>
      <c r="S329" s="150"/>
      <c r="T329" s="150"/>
      <c r="U329" s="150"/>
      <c r="V329" s="150"/>
      <c r="W329" s="150"/>
      <c r="X329" s="150"/>
      <c r="Y329" s="150"/>
      <c r="Z329" s="150"/>
    </row>
    <row r="330" customFormat="false" ht="14.25" hidden="false" customHeight="true" outlineLevel="0" collapsed="false">
      <c r="A330" s="217" t="s">
        <v>341</v>
      </c>
      <c r="B330" s="217" t="s">
        <v>599</v>
      </c>
      <c r="C330" s="228" t="s">
        <v>601</v>
      </c>
      <c r="D330" s="218" t="s">
        <v>53</v>
      </c>
      <c r="E330" s="219" t="s">
        <v>54</v>
      </c>
      <c r="F330" s="220" t="n">
        <v>1</v>
      </c>
      <c r="G330" s="221" t="n">
        <f aca="false">ROUND((1-ORCAMENTO!$O$10)*254.59,2)</f>
        <v>254.59</v>
      </c>
      <c r="H330" s="221" t="n">
        <f aca="false">(1-ORCAMENTO!$O$10)*254.59</f>
        <v>254.59</v>
      </c>
      <c r="I330" s="222" t="n">
        <f aca="false">(1-ORCAMENTO!$O$10)*254.59</f>
        <v>254.59</v>
      </c>
      <c r="J330" s="222" t="n">
        <f aca="false">(1-ORCAMENTO!$O$10)*0</f>
        <v>0</v>
      </c>
      <c r="K330" s="222" t="n">
        <f aca="false">(1-ORCAMENTO!$O$10)*0</f>
        <v>0</v>
      </c>
      <c r="L330" s="222" t="n">
        <f aca="false">(1-ORCAMENTO!$O$10)*0</f>
        <v>0</v>
      </c>
      <c r="M330" s="222" t="n">
        <f aca="false">(1-ORCAMENTO!$O$10)*0</f>
        <v>0</v>
      </c>
      <c r="N330" s="150"/>
      <c r="O330" s="150"/>
      <c r="P330" s="150"/>
      <c r="Q330" s="150"/>
      <c r="R330" s="150"/>
      <c r="S330" s="150"/>
      <c r="T330" s="150"/>
      <c r="U330" s="150"/>
      <c r="V330" s="150"/>
      <c r="W330" s="150"/>
      <c r="X330" s="150"/>
      <c r="Y330" s="150"/>
      <c r="Z330" s="150"/>
    </row>
    <row r="331" customFormat="false" ht="14.25" hidden="false" customHeight="true" outlineLevel="0" collapsed="false">
      <c r="A331" s="228"/>
      <c r="B331" s="217"/>
      <c r="C331" s="228"/>
      <c r="D331" s="218"/>
      <c r="E331" s="219"/>
      <c r="F331" s="220"/>
      <c r="G331" s="221"/>
      <c r="H331" s="221"/>
      <c r="I331" s="222"/>
      <c r="J331" s="222"/>
      <c r="K331" s="222"/>
      <c r="L331" s="222"/>
      <c r="M331" s="222"/>
      <c r="N331" s="150"/>
      <c r="O331" s="150"/>
      <c r="P331" s="150"/>
      <c r="Q331" s="150"/>
      <c r="R331" s="150"/>
      <c r="S331" s="150"/>
      <c r="T331" s="150"/>
      <c r="U331" s="150"/>
      <c r="V331" s="150"/>
      <c r="W331" s="150"/>
      <c r="X331" s="150"/>
      <c r="Y331" s="150"/>
      <c r="Z331" s="150"/>
    </row>
    <row r="332" customFormat="false" ht="14.25" hidden="false" customHeight="true" outlineLevel="0" collapsed="false">
      <c r="A332" s="223" t="s">
        <v>64</v>
      </c>
      <c r="B332" s="160" t="s">
        <v>51</v>
      </c>
      <c r="C332" s="223"/>
      <c r="D332" s="224" t="s">
        <v>65</v>
      </c>
      <c r="E332" s="159" t="s">
        <v>62</v>
      </c>
      <c r="F332" s="225"/>
      <c r="G332" s="226"/>
      <c r="H332" s="226" t="n">
        <f aca="false">SUM($I$332:$M$332)</f>
        <v>14.68</v>
      </c>
      <c r="I332" s="227" t="n">
        <f aca="false">ROUND((1-ORCAMENTO!$O$10)*10.08,2)</f>
        <v>10.08</v>
      </c>
      <c r="J332" s="227" t="n">
        <f aca="false">ROUND((1-ORCAMENTO!$O$10)*4.6,2)</f>
        <v>4.6</v>
      </c>
      <c r="K332" s="227" t="n">
        <f aca="false">ROUND((1-ORCAMENTO!$O$10)*0,2)</f>
        <v>0</v>
      </c>
      <c r="L332" s="227" t="n">
        <f aca="false">ROUND((1-ORCAMENTO!$O$10)*0,2)</f>
        <v>0</v>
      </c>
      <c r="M332" s="227" t="n">
        <f aca="false">ROUND((1-ORCAMENTO!$O$10)*0,2)</f>
        <v>0</v>
      </c>
      <c r="N332" s="150"/>
      <c r="O332" s="150"/>
      <c r="P332" s="150"/>
      <c r="Q332" s="150"/>
      <c r="R332" s="150"/>
      <c r="S332" s="150"/>
      <c r="T332" s="150"/>
      <c r="U332" s="150"/>
      <c r="V332" s="150"/>
      <c r="W332" s="150"/>
      <c r="X332" s="150"/>
      <c r="Y332" s="150"/>
      <c r="Z332" s="150"/>
    </row>
    <row r="333" customFormat="false" ht="14.25" hidden="false" customHeight="true" outlineLevel="0" collapsed="false">
      <c r="A333" s="228" t="s">
        <v>341</v>
      </c>
      <c r="B333" s="217" t="s">
        <v>383</v>
      </c>
      <c r="C333" s="228" t="s">
        <v>602</v>
      </c>
      <c r="D333" s="218" t="s">
        <v>603</v>
      </c>
      <c r="E333" s="219" t="s">
        <v>127</v>
      </c>
      <c r="F333" s="220" t="n">
        <v>0.04</v>
      </c>
      <c r="G333" s="221" t="n">
        <f aca="false">ROUND((1-ORCAMENTO!$O$10)*37.41,2)</f>
        <v>37.41</v>
      </c>
      <c r="H333" s="221" t="n">
        <f aca="false">(1-ORCAMENTO!$O$10)*1.4964</f>
        <v>1.4964</v>
      </c>
      <c r="I333" s="222" t="n">
        <f aca="false">(1-ORCAMENTO!$O$10)*1.4964</f>
        <v>1.4964</v>
      </c>
      <c r="J333" s="222" t="n">
        <f aca="false">(1-ORCAMENTO!$O$10)*0</f>
        <v>0</v>
      </c>
      <c r="K333" s="222" t="n">
        <f aca="false">(1-ORCAMENTO!$O$10)*0</f>
        <v>0</v>
      </c>
      <c r="L333" s="222" t="n">
        <f aca="false">(1-ORCAMENTO!$O$10)*0</f>
        <v>0</v>
      </c>
      <c r="M333" s="222" t="n">
        <f aca="false">(1-ORCAMENTO!$O$10)*0</f>
        <v>0</v>
      </c>
      <c r="N333" s="150"/>
      <c r="O333" s="150"/>
      <c r="P333" s="150"/>
      <c r="Q333" s="150"/>
      <c r="R333" s="150"/>
      <c r="S333" s="150"/>
      <c r="T333" s="150"/>
      <c r="U333" s="150"/>
      <c r="V333" s="150"/>
      <c r="W333" s="150"/>
      <c r="X333" s="150"/>
      <c r="Y333" s="150"/>
      <c r="Z333" s="150"/>
    </row>
    <row r="334" customFormat="false" ht="14.25" hidden="false" customHeight="true" outlineLevel="0" collapsed="false">
      <c r="A334" s="228" t="s">
        <v>341</v>
      </c>
      <c r="B334" s="217" t="s">
        <v>69</v>
      </c>
      <c r="C334" s="228" t="s">
        <v>404</v>
      </c>
      <c r="D334" s="218" t="s">
        <v>405</v>
      </c>
      <c r="E334" s="219" t="s">
        <v>71</v>
      </c>
      <c r="F334" s="220" t="n">
        <v>0.06</v>
      </c>
      <c r="G334" s="221" t="n">
        <f aca="false">ROUND((1-ORCAMENTO!$O$10)*32.13,2)</f>
        <v>32.13</v>
      </c>
      <c r="H334" s="221" t="n">
        <f aca="false">(1-ORCAMENTO!$O$10)*1.9278</f>
        <v>1.9278</v>
      </c>
      <c r="I334" s="222" t="n">
        <f aca="false">(1-ORCAMENTO!$O$10)*0.4614</f>
        <v>0.4614</v>
      </c>
      <c r="J334" s="222" t="n">
        <f aca="false">(1-ORCAMENTO!$O$10)*1.4664</f>
        <v>1.4664</v>
      </c>
      <c r="K334" s="222" t="n">
        <f aca="false">(1-ORCAMENTO!$O$10)*0</f>
        <v>0</v>
      </c>
      <c r="L334" s="222" t="n">
        <f aca="false">(1-ORCAMENTO!$O$10)*0</f>
        <v>0</v>
      </c>
      <c r="M334" s="222" t="n">
        <f aca="false">(1-ORCAMENTO!$O$10)*0</f>
        <v>0</v>
      </c>
      <c r="N334" s="150"/>
      <c r="O334" s="150"/>
      <c r="P334" s="150"/>
      <c r="Q334" s="150"/>
      <c r="R334" s="150"/>
      <c r="S334" s="150"/>
      <c r="T334" s="150"/>
      <c r="U334" s="150"/>
      <c r="V334" s="150"/>
      <c r="W334" s="150"/>
      <c r="X334" s="150"/>
      <c r="Y334" s="150"/>
      <c r="Z334" s="150"/>
    </row>
    <row r="335" customFormat="false" ht="14.25" hidden="false" customHeight="true" outlineLevel="0" collapsed="false">
      <c r="A335" s="228" t="s">
        <v>341</v>
      </c>
      <c r="B335" s="217" t="s">
        <v>69</v>
      </c>
      <c r="C335" s="228" t="s">
        <v>348</v>
      </c>
      <c r="D335" s="218" t="s">
        <v>349</v>
      </c>
      <c r="E335" s="219" t="s">
        <v>71</v>
      </c>
      <c r="F335" s="220" t="n">
        <v>0.18</v>
      </c>
      <c r="G335" s="221" t="n">
        <f aca="false">ROUND((1-ORCAMENTO!$O$10)*25.12,2)</f>
        <v>25.12</v>
      </c>
      <c r="H335" s="221" t="n">
        <f aca="false">(1-ORCAMENTO!$O$10)*4.5216</f>
        <v>4.5216</v>
      </c>
      <c r="I335" s="222" t="n">
        <f aca="false">(1-ORCAMENTO!$O$10)*1.386</f>
        <v>1.386</v>
      </c>
      <c r="J335" s="222" t="n">
        <f aca="false">(1-ORCAMENTO!$O$10)*3.1356</f>
        <v>3.1356</v>
      </c>
      <c r="K335" s="222" t="n">
        <f aca="false">(1-ORCAMENTO!$O$10)*0</f>
        <v>0</v>
      </c>
      <c r="L335" s="222" t="n">
        <f aca="false">(1-ORCAMENTO!$O$10)*0</f>
        <v>0</v>
      </c>
      <c r="M335" s="222" t="n">
        <f aca="false">(1-ORCAMENTO!$O$10)*0</f>
        <v>0</v>
      </c>
      <c r="N335" s="150"/>
      <c r="O335" s="150"/>
      <c r="P335" s="150"/>
      <c r="Q335" s="150"/>
      <c r="R335" s="150"/>
      <c r="S335" s="150"/>
      <c r="T335" s="150"/>
      <c r="U335" s="150"/>
      <c r="V335" s="150"/>
      <c r="W335" s="150"/>
      <c r="X335" s="150"/>
      <c r="Y335" s="150"/>
      <c r="Z335" s="150"/>
    </row>
    <row r="336" customFormat="false" ht="14.25" hidden="false" customHeight="true" outlineLevel="0" collapsed="false">
      <c r="A336" s="217" t="s">
        <v>341</v>
      </c>
      <c r="B336" s="217" t="s">
        <v>383</v>
      </c>
      <c r="C336" s="228" t="s">
        <v>501</v>
      </c>
      <c r="D336" s="218" t="s">
        <v>502</v>
      </c>
      <c r="E336" s="219" t="s">
        <v>106</v>
      </c>
      <c r="F336" s="220" t="n">
        <v>0.7</v>
      </c>
      <c r="G336" s="221" t="n">
        <f aca="false">ROUND((1-ORCAMENTO!$O$10)*6.77,2)</f>
        <v>6.77</v>
      </c>
      <c r="H336" s="221" t="n">
        <f aca="false">(1-ORCAMENTO!$O$10)*4.739</f>
        <v>4.739</v>
      </c>
      <c r="I336" s="222" t="n">
        <f aca="false">(1-ORCAMENTO!$O$10)*4.739</f>
        <v>4.739</v>
      </c>
      <c r="J336" s="222" t="n">
        <f aca="false">(1-ORCAMENTO!$O$10)*0</f>
        <v>0</v>
      </c>
      <c r="K336" s="222" t="n">
        <f aca="false">(1-ORCAMENTO!$O$10)*0</f>
        <v>0</v>
      </c>
      <c r="L336" s="222" t="n">
        <f aca="false">(1-ORCAMENTO!$O$10)*0</f>
        <v>0</v>
      </c>
      <c r="M336" s="222" t="n">
        <f aca="false">(1-ORCAMENTO!$O$10)*0</f>
        <v>0</v>
      </c>
      <c r="N336" s="150"/>
      <c r="O336" s="150"/>
      <c r="P336" s="150"/>
      <c r="Q336" s="150"/>
      <c r="R336" s="150"/>
      <c r="S336" s="150"/>
      <c r="T336" s="150"/>
      <c r="U336" s="150"/>
      <c r="V336" s="150"/>
      <c r="W336" s="150"/>
      <c r="X336" s="150"/>
      <c r="Y336" s="150"/>
      <c r="Z336" s="150"/>
    </row>
    <row r="337" customFormat="false" ht="14.25" hidden="false" customHeight="true" outlineLevel="0" collapsed="false">
      <c r="A337" s="228" t="s">
        <v>341</v>
      </c>
      <c r="B337" s="217" t="s">
        <v>383</v>
      </c>
      <c r="C337" s="228" t="s">
        <v>604</v>
      </c>
      <c r="D337" s="218" t="s">
        <v>605</v>
      </c>
      <c r="E337" s="219" t="s">
        <v>106</v>
      </c>
      <c r="F337" s="220" t="n">
        <v>1</v>
      </c>
      <c r="G337" s="221" t="n">
        <f aca="false">ROUND((1-ORCAMENTO!$O$10)*2,2)</f>
        <v>2</v>
      </c>
      <c r="H337" s="221" t="n">
        <f aca="false">(1-ORCAMENTO!$O$10)*2</f>
        <v>2</v>
      </c>
      <c r="I337" s="222" t="n">
        <f aca="false">(1-ORCAMENTO!$O$10)*2</f>
        <v>2</v>
      </c>
      <c r="J337" s="222" t="n">
        <f aca="false">(1-ORCAMENTO!$O$10)*0</f>
        <v>0</v>
      </c>
      <c r="K337" s="222" t="n">
        <f aca="false">(1-ORCAMENTO!$O$10)*0</f>
        <v>0</v>
      </c>
      <c r="L337" s="222" t="n">
        <f aca="false">(1-ORCAMENTO!$O$10)*0</f>
        <v>0</v>
      </c>
      <c r="M337" s="222" t="n">
        <f aca="false">(1-ORCAMENTO!$O$10)*0</f>
        <v>0</v>
      </c>
      <c r="N337" s="150"/>
      <c r="O337" s="150"/>
      <c r="P337" s="150"/>
      <c r="Q337" s="150"/>
      <c r="R337" s="150"/>
      <c r="S337" s="150"/>
      <c r="T337" s="150"/>
      <c r="U337" s="150"/>
      <c r="V337" s="150"/>
      <c r="W337" s="150"/>
      <c r="X337" s="150"/>
      <c r="Y337" s="150"/>
      <c r="Z337" s="150"/>
    </row>
    <row r="338" customFormat="false" ht="14.25" hidden="false" customHeight="true" outlineLevel="0" collapsed="false">
      <c r="A338" s="228"/>
      <c r="B338" s="217"/>
      <c r="C338" s="228"/>
      <c r="D338" s="218"/>
      <c r="E338" s="219"/>
      <c r="F338" s="220"/>
      <c r="G338" s="221"/>
      <c r="H338" s="221"/>
      <c r="I338" s="222"/>
      <c r="J338" s="222"/>
      <c r="K338" s="222"/>
      <c r="L338" s="222"/>
      <c r="M338" s="222"/>
      <c r="N338" s="150"/>
      <c r="O338" s="150"/>
      <c r="P338" s="150"/>
      <c r="Q338" s="150"/>
      <c r="R338" s="150"/>
      <c r="S338" s="150"/>
      <c r="T338" s="150"/>
      <c r="U338" s="150"/>
      <c r="V338" s="150"/>
      <c r="W338" s="150"/>
      <c r="X338" s="150"/>
      <c r="Y338" s="150"/>
      <c r="Z338" s="150"/>
    </row>
    <row r="339" customFormat="false" ht="14.25" hidden="false" customHeight="true" outlineLevel="0" collapsed="false">
      <c r="A339" s="160" t="s">
        <v>60</v>
      </c>
      <c r="B339" s="160" t="s">
        <v>51</v>
      </c>
      <c r="C339" s="223"/>
      <c r="D339" s="224" t="s">
        <v>61</v>
      </c>
      <c r="E339" s="159" t="s">
        <v>62</v>
      </c>
      <c r="F339" s="225"/>
      <c r="G339" s="226"/>
      <c r="H339" s="226" t="n">
        <f aca="false">SUM($I$339:$M$339)</f>
        <v>345.03</v>
      </c>
      <c r="I339" s="227" t="n">
        <f aca="false">ROUND((1-ORCAMENTO!$O$10)*303.17,2)</f>
        <v>303.17</v>
      </c>
      <c r="J339" s="227" t="n">
        <f aca="false">ROUND((1-ORCAMENTO!$O$10)*41.86,2)</f>
        <v>41.86</v>
      </c>
      <c r="K339" s="227" t="n">
        <f aca="false">ROUND((1-ORCAMENTO!$O$10)*0,2)</f>
        <v>0</v>
      </c>
      <c r="L339" s="227" t="n">
        <f aca="false">ROUND((1-ORCAMENTO!$O$10)*0,2)</f>
        <v>0</v>
      </c>
      <c r="M339" s="227" t="n">
        <f aca="false">ROUND((1-ORCAMENTO!$O$10)*0,2)</f>
        <v>0</v>
      </c>
      <c r="N339" s="150"/>
      <c r="O339" s="150"/>
      <c r="P339" s="150"/>
      <c r="Q339" s="150"/>
      <c r="R339" s="150"/>
      <c r="S339" s="150"/>
      <c r="T339" s="150"/>
      <c r="U339" s="150"/>
      <c r="V339" s="150"/>
      <c r="W339" s="150"/>
      <c r="X339" s="150"/>
      <c r="Y339" s="150"/>
      <c r="Z339" s="150"/>
    </row>
    <row r="340" customFormat="false" ht="14.25" hidden="false" customHeight="true" outlineLevel="0" collapsed="false">
      <c r="A340" s="228" t="s">
        <v>341</v>
      </c>
      <c r="B340" s="217" t="s">
        <v>383</v>
      </c>
      <c r="C340" s="228" t="s">
        <v>606</v>
      </c>
      <c r="D340" s="218" t="s">
        <v>607</v>
      </c>
      <c r="E340" s="219" t="s">
        <v>106</v>
      </c>
      <c r="F340" s="220" t="n">
        <v>1</v>
      </c>
      <c r="G340" s="221" t="n">
        <f aca="false">ROUND((1-ORCAMENTO!$O$10)*8.92,2)</f>
        <v>8.92</v>
      </c>
      <c r="H340" s="221" t="n">
        <f aca="false">(1-ORCAMENTO!$O$10)*8.92</f>
        <v>8.92</v>
      </c>
      <c r="I340" s="222" t="n">
        <f aca="false">(1-ORCAMENTO!$O$10)*8.92</f>
        <v>8.92</v>
      </c>
      <c r="J340" s="222" t="n">
        <f aca="false">(1-ORCAMENTO!$O$10)*0</f>
        <v>0</v>
      </c>
      <c r="K340" s="222" t="n">
        <f aca="false">(1-ORCAMENTO!$O$10)*0</f>
        <v>0</v>
      </c>
      <c r="L340" s="222" t="n">
        <f aca="false">(1-ORCAMENTO!$O$10)*0</f>
        <v>0</v>
      </c>
      <c r="M340" s="222" t="n">
        <f aca="false">(1-ORCAMENTO!$O$10)*0</f>
        <v>0</v>
      </c>
      <c r="N340" s="150"/>
      <c r="O340" s="150"/>
      <c r="P340" s="150"/>
      <c r="Q340" s="150"/>
      <c r="R340" s="150"/>
      <c r="S340" s="150"/>
      <c r="T340" s="150"/>
      <c r="U340" s="150"/>
      <c r="V340" s="150"/>
      <c r="W340" s="150"/>
      <c r="X340" s="150"/>
      <c r="Y340" s="150"/>
      <c r="Z340" s="150"/>
    </row>
    <row r="341" customFormat="false" ht="14.25" hidden="false" customHeight="true" outlineLevel="0" collapsed="false">
      <c r="A341" s="228" t="s">
        <v>341</v>
      </c>
      <c r="B341" s="217" t="s">
        <v>383</v>
      </c>
      <c r="C341" s="228" t="s">
        <v>501</v>
      </c>
      <c r="D341" s="218" t="s">
        <v>502</v>
      </c>
      <c r="E341" s="219" t="s">
        <v>106</v>
      </c>
      <c r="F341" s="220" t="n">
        <v>4</v>
      </c>
      <c r="G341" s="221" t="n">
        <f aca="false">ROUND((1-ORCAMENTO!$O$10)*6.77,2)</f>
        <v>6.77</v>
      </c>
      <c r="H341" s="221" t="n">
        <f aca="false">(1-ORCAMENTO!$O$10)*27.08</f>
        <v>27.08</v>
      </c>
      <c r="I341" s="222" t="n">
        <f aca="false">(1-ORCAMENTO!$O$10)*27.08</f>
        <v>27.08</v>
      </c>
      <c r="J341" s="222" t="n">
        <f aca="false">(1-ORCAMENTO!$O$10)*0</f>
        <v>0</v>
      </c>
      <c r="K341" s="222" t="n">
        <f aca="false">(1-ORCAMENTO!$O$10)*0</f>
        <v>0</v>
      </c>
      <c r="L341" s="222" t="n">
        <f aca="false">(1-ORCAMENTO!$O$10)*0</f>
        <v>0</v>
      </c>
      <c r="M341" s="222" t="n">
        <f aca="false">(1-ORCAMENTO!$O$10)*0</f>
        <v>0</v>
      </c>
      <c r="N341" s="150"/>
      <c r="O341" s="150"/>
      <c r="P341" s="150"/>
      <c r="Q341" s="150"/>
      <c r="R341" s="150"/>
      <c r="S341" s="150"/>
      <c r="T341" s="150"/>
      <c r="U341" s="150"/>
      <c r="V341" s="150"/>
      <c r="W341" s="150"/>
      <c r="X341" s="150"/>
      <c r="Y341" s="150"/>
      <c r="Z341" s="150"/>
    </row>
    <row r="342" customFormat="false" ht="14.25" hidden="false" customHeight="true" outlineLevel="0" collapsed="false">
      <c r="A342" s="228" t="s">
        <v>341</v>
      </c>
      <c r="B342" s="217" t="s">
        <v>383</v>
      </c>
      <c r="C342" s="228" t="s">
        <v>608</v>
      </c>
      <c r="D342" s="218" t="s">
        <v>609</v>
      </c>
      <c r="E342" s="219" t="s">
        <v>62</v>
      </c>
      <c r="F342" s="220" t="n">
        <v>1</v>
      </c>
      <c r="G342" s="221" t="n">
        <f aca="false">ROUND((1-ORCAMENTO!$O$10)*250,2)</f>
        <v>250</v>
      </c>
      <c r="H342" s="221" t="n">
        <f aca="false">(1-ORCAMENTO!$O$10)*250</f>
        <v>250</v>
      </c>
      <c r="I342" s="222" t="n">
        <f aca="false">(1-ORCAMENTO!$O$10)*250</f>
        <v>250</v>
      </c>
      <c r="J342" s="222" t="n">
        <f aca="false">(1-ORCAMENTO!$O$10)*0</f>
        <v>0</v>
      </c>
      <c r="K342" s="222" t="n">
        <f aca="false">(1-ORCAMENTO!$O$10)*0</f>
        <v>0</v>
      </c>
      <c r="L342" s="222" t="n">
        <f aca="false">(1-ORCAMENTO!$O$10)*0</f>
        <v>0</v>
      </c>
      <c r="M342" s="222" t="n">
        <f aca="false">(1-ORCAMENTO!$O$10)*0</f>
        <v>0</v>
      </c>
      <c r="N342" s="150"/>
      <c r="O342" s="150"/>
      <c r="P342" s="150"/>
      <c r="Q342" s="150"/>
      <c r="R342" s="150"/>
      <c r="S342" s="150"/>
      <c r="T342" s="150"/>
      <c r="U342" s="150"/>
      <c r="V342" s="150"/>
      <c r="W342" s="150"/>
      <c r="X342" s="150"/>
      <c r="Y342" s="150"/>
      <c r="Z342" s="150"/>
    </row>
    <row r="343" customFormat="false" ht="14.25" hidden="false" customHeight="true" outlineLevel="0" collapsed="false">
      <c r="A343" s="228" t="s">
        <v>341</v>
      </c>
      <c r="B343" s="217" t="s">
        <v>383</v>
      </c>
      <c r="C343" s="228" t="s">
        <v>610</v>
      </c>
      <c r="D343" s="218" t="s">
        <v>611</v>
      </c>
      <c r="E343" s="219" t="s">
        <v>127</v>
      </c>
      <c r="F343" s="220" t="n">
        <v>0.11</v>
      </c>
      <c r="G343" s="221" t="n">
        <f aca="false">ROUND((1-ORCAMENTO!$O$10)*16.17,2)</f>
        <v>16.17</v>
      </c>
      <c r="H343" s="221" t="n">
        <f aca="false">(1-ORCAMENTO!$O$10)*1.7787</f>
        <v>1.7787</v>
      </c>
      <c r="I343" s="222" t="n">
        <f aca="false">(1-ORCAMENTO!$O$10)*1.7787</f>
        <v>1.7787</v>
      </c>
      <c r="J343" s="222" t="n">
        <f aca="false">(1-ORCAMENTO!$O$10)*0</f>
        <v>0</v>
      </c>
      <c r="K343" s="222" t="n">
        <f aca="false">(1-ORCAMENTO!$O$10)*0</f>
        <v>0</v>
      </c>
      <c r="L343" s="222" t="n">
        <f aca="false">(1-ORCAMENTO!$O$10)*0</f>
        <v>0</v>
      </c>
      <c r="M343" s="222" t="n">
        <f aca="false">(1-ORCAMENTO!$O$10)*0</f>
        <v>0</v>
      </c>
      <c r="N343" s="150"/>
      <c r="O343" s="150"/>
      <c r="P343" s="150"/>
      <c r="Q343" s="150"/>
      <c r="R343" s="150"/>
      <c r="S343" s="150"/>
      <c r="T343" s="150"/>
      <c r="U343" s="150"/>
      <c r="V343" s="150"/>
      <c r="W343" s="150"/>
      <c r="X343" s="150"/>
      <c r="Y343" s="150"/>
      <c r="Z343" s="150"/>
    </row>
    <row r="344" customFormat="false" ht="14.25" hidden="false" customHeight="true" outlineLevel="0" collapsed="false">
      <c r="A344" s="228" t="s">
        <v>341</v>
      </c>
      <c r="B344" s="217" t="s">
        <v>69</v>
      </c>
      <c r="C344" s="228" t="s">
        <v>404</v>
      </c>
      <c r="D344" s="218" t="s">
        <v>405</v>
      </c>
      <c r="E344" s="219" t="s">
        <v>71</v>
      </c>
      <c r="F344" s="220" t="n">
        <v>1</v>
      </c>
      <c r="G344" s="221" t="n">
        <f aca="false">ROUND((1-ORCAMENTO!$O$10)*32.13,2)</f>
        <v>32.13</v>
      </c>
      <c r="H344" s="221" t="n">
        <f aca="false">(1-ORCAMENTO!$O$10)*32.13</f>
        <v>32.13</v>
      </c>
      <c r="I344" s="222" t="n">
        <f aca="false">(1-ORCAMENTO!$O$10)*7.69</f>
        <v>7.69</v>
      </c>
      <c r="J344" s="222" t="n">
        <f aca="false">(1-ORCAMENTO!$O$10)*24.44</f>
        <v>24.44</v>
      </c>
      <c r="K344" s="222" t="n">
        <f aca="false">(1-ORCAMENTO!$O$10)*0</f>
        <v>0</v>
      </c>
      <c r="L344" s="222" t="n">
        <f aca="false">(1-ORCAMENTO!$O$10)*0</f>
        <v>0</v>
      </c>
      <c r="M344" s="222" t="n">
        <f aca="false">(1-ORCAMENTO!$O$10)*0</f>
        <v>0</v>
      </c>
      <c r="N344" s="150"/>
      <c r="O344" s="150"/>
      <c r="P344" s="150"/>
      <c r="Q344" s="150"/>
      <c r="R344" s="150"/>
      <c r="S344" s="150"/>
      <c r="T344" s="150"/>
      <c r="U344" s="150"/>
      <c r="V344" s="150"/>
      <c r="W344" s="150"/>
      <c r="X344" s="150"/>
      <c r="Y344" s="150"/>
      <c r="Z344" s="150"/>
    </row>
    <row r="345" customFormat="false" ht="14.25" hidden="false" customHeight="true" outlineLevel="0" collapsed="false">
      <c r="A345" s="217" t="s">
        <v>341</v>
      </c>
      <c r="B345" s="217" t="s">
        <v>69</v>
      </c>
      <c r="C345" s="228" t="s">
        <v>348</v>
      </c>
      <c r="D345" s="218" t="s">
        <v>349</v>
      </c>
      <c r="E345" s="219" t="s">
        <v>71</v>
      </c>
      <c r="F345" s="220" t="n">
        <v>1</v>
      </c>
      <c r="G345" s="221" t="n">
        <f aca="false">ROUND((1-ORCAMENTO!$O$10)*25.12,2)</f>
        <v>25.12</v>
      </c>
      <c r="H345" s="221" t="n">
        <f aca="false">(1-ORCAMENTO!$O$10)*25.12</f>
        <v>25.12</v>
      </c>
      <c r="I345" s="222" t="n">
        <f aca="false">(1-ORCAMENTO!$O$10)*7.7</f>
        <v>7.7</v>
      </c>
      <c r="J345" s="222" t="n">
        <f aca="false">(1-ORCAMENTO!$O$10)*17.42</f>
        <v>17.42</v>
      </c>
      <c r="K345" s="222" t="n">
        <f aca="false">(1-ORCAMENTO!$O$10)*0</f>
        <v>0</v>
      </c>
      <c r="L345" s="222" t="n">
        <f aca="false">(1-ORCAMENTO!$O$10)*0</f>
        <v>0</v>
      </c>
      <c r="M345" s="222" t="n">
        <f aca="false">(1-ORCAMENTO!$O$10)*0</f>
        <v>0</v>
      </c>
      <c r="N345" s="150"/>
      <c r="O345" s="150"/>
      <c r="P345" s="150"/>
      <c r="Q345" s="150"/>
      <c r="R345" s="150"/>
      <c r="S345" s="150"/>
      <c r="T345" s="150"/>
      <c r="U345" s="150"/>
      <c r="V345" s="150"/>
      <c r="W345" s="150"/>
      <c r="X345" s="150"/>
      <c r="Y345" s="150"/>
      <c r="Z345" s="150"/>
    </row>
    <row r="346" customFormat="false" ht="14.25" hidden="false" customHeight="true" outlineLevel="0" collapsed="false">
      <c r="A346" s="228"/>
      <c r="B346" s="217"/>
      <c r="C346" s="228"/>
      <c r="D346" s="218"/>
      <c r="E346" s="219"/>
      <c r="F346" s="220"/>
      <c r="G346" s="221"/>
      <c r="H346" s="221"/>
      <c r="I346" s="222"/>
      <c r="J346" s="222"/>
      <c r="K346" s="222"/>
      <c r="L346" s="222"/>
      <c r="M346" s="222"/>
      <c r="N346" s="150"/>
      <c r="O346" s="150"/>
      <c r="P346" s="150"/>
      <c r="Q346" s="150"/>
      <c r="R346" s="150"/>
      <c r="S346" s="150"/>
      <c r="T346" s="150"/>
      <c r="U346" s="150"/>
      <c r="V346" s="150"/>
      <c r="W346" s="150"/>
      <c r="X346" s="150"/>
      <c r="Y346" s="150"/>
      <c r="Z346" s="150"/>
    </row>
    <row r="347" customFormat="false" ht="14.25" hidden="false" customHeight="true" outlineLevel="0" collapsed="false">
      <c r="A347" s="223" t="s">
        <v>253</v>
      </c>
      <c r="B347" s="160" t="s">
        <v>51</v>
      </c>
      <c r="C347" s="223"/>
      <c r="D347" s="224" t="s">
        <v>254</v>
      </c>
      <c r="E347" s="159" t="s">
        <v>85</v>
      </c>
      <c r="F347" s="225"/>
      <c r="G347" s="226"/>
      <c r="H347" s="226" t="n">
        <f aca="false">SUM($I$347:$M$347)</f>
        <v>33.72</v>
      </c>
      <c r="I347" s="227" t="n">
        <f aca="false">ROUND((1-ORCAMENTO!$O$10)*7.06,2)</f>
        <v>7.06</v>
      </c>
      <c r="J347" s="227" t="n">
        <f aca="false">ROUND((1-ORCAMENTO!$O$10)*18.68,2)</f>
        <v>18.68</v>
      </c>
      <c r="K347" s="227" t="n">
        <f aca="false">ROUND((1-ORCAMENTO!$O$10)*7.98,2)</f>
        <v>7.98</v>
      </c>
      <c r="L347" s="227" t="n">
        <f aca="false">ROUND((1-ORCAMENTO!$O$10)*0,2)</f>
        <v>0</v>
      </c>
      <c r="M347" s="227" t="n">
        <f aca="false">ROUND((1-ORCAMENTO!$O$10)*0,2)</f>
        <v>0</v>
      </c>
      <c r="N347" s="150"/>
      <c r="O347" s="150"/>
      <c r="P347" s="150"/>
      <c r="Q347" s="150"/>
      <c r="R347" s="150"/>
      <c r="S347" s="150"/>
      <c r="T347" s="150"/>
      <c r="U347" s="150"/>
      <c r="V347" s="150"/>
      <c r="W347" s="150"/>
      <c r="X347" s="150"/>
      <c r="Y347" s="150"/>
      <c r="Z347" s="150"/>
    </row>
    <row r="348" customFormat="false" ht="14.25" hidden="false" customHeight="true" outlineLevel="0" collapsed="false">
      <c r="A348" s="228" t="s">
        <v>341</v>
      </c>
      <c r="B348" s="217" t="s">
        <v>69</v>
      </c>
      <c r="C348" s="228" t="s">
        <v>612</v>
      </c>
      <c r="D348" s="218" t="s">
        <v>613</v>
      </c>
      <c r="E348" s="219" t="s">
        <v>347</v>
      </c>
      <c r="F348" s="220" t="n">
        <v>0.25</v>
      </c>
      <c r="G348" s="221" t="n">
        <f aca="false">ROUND((1-ORCAMENTO!$O$10)*64.57,2)</f>
        <v>64.57</v>
      </c>
      <c r="H348" s="221" t="n">
        <f aca="false">(1-ORCAMENTO!$O$10)*16.1425</f>
        <v>16.1425</v>
      </c>
      <c r="I348" s="222" t="n">
        <f aca="false">(1-ORCAMENTO!$O$10)*1.6725</f>
        <v>1.6725</v>
      </c>
      <c r="J348" s="222" t="n">
        <f aca="false">(1-ORCAMENTO!$O$10)*6.4875</f>
        <v>6.4875</v>
      </c>
      <c r="K348" s="222" t="n">
        <f aca="false">(1-ORCAMENTO!$O$10)*7.9825</f>
        <v>7.9825</v>
      </c>
      <c r="L348" s="222" t="n">
        <f aca="false">(1-ORCAMENTO!$O$10)*0</f>
        <v>0</v>
      </c>
      <c r="M348" s="222" t="n">
        <f aca="false">(1-ORCAMENTO!$O$10)*0</f>
        <v>0</v>
      </c>
      <c r="N348" s="150"/>
      <c r="O348" s="150"/>
      <c r="P348" s="150"/>
      <c r="Q348" s="150"/>
      <c r="R348" s="150"/>
      <c r="S348" s="150"/>
      <c r="T348" s="150"/>
      <c r="U348" s="150"/>
      <c r="V348" s="150"/>
      <c r="W348" s="150"/>
      <c r="X348" s="150"/>
      <c r="Y348" s="150"/>
      <c r="Z348" s="150"/>
    </row>
    <row r="349" customFormat="false" ht="14.25" hidden="false" customHeight="true" outlineLevel="0" collapsed="false">
      <c r="A349" s="228" t="s">
        <v>341</v>
      </c>
      <c r="B349" s="217" t="s">
        <v>69</v>
      </c>
      <c r="C349" s="228" t="s">
        <v>348</v>
      </c>
      <c r="D349" s="218" t="s">
        <v>349</v>
      </c>
      <c r="E349" s="219" t="s">
        <v>71</v>
      </c>
      <c r="F349" s="220" t="n">
        <v>0.7</v>
      </c>
      <c r="G349" s="221" t="n">
        <f aca="false">ROUND((1-ORCAMENTO!$O$10)*25.12,2)</f>
        <v>25.12</v>
      </c>
      <c r="H349" s="221" t="n">
        <f aca="false">(1-ORCAMENTO!$O$10)*17.584</f>
        <v>17.584</v>
      </c>
      <c r="I349" s="222" t="n">
        <f aca="false">(1-ORCAMENTO!$O$10)*5.39</f>
        <v>5.39</v>
      </c>
      <c r="J349" s="222" t="n">
        <f aca="false">(1-ORCAMENTO!$O$10)*12.194</f>
        <v>12.194</v>
      </c>
      <c r="K349" s="222" t="n">
        <f aca="false">(1-ORCAMENTO!$O$10)*0</f>
        <v>0</v>
      </c>
      <c r="L349" s="222" t="n">
        <f aca="false">(1-ORCAMENTO!$O$10)*0</f>
        <v>0</v>
      </c>
      <c r="M349" s="222" t="n">
        <f aca="false">(1-ORCAMENTO!$O$10)*0</f>
        <v>0</v>
      </c>
      <c r="N349" s="150"/>
      <c r="O349" s="150"/>
      <c r="P349" s="150"/>
      <c r="Q349" s="150"/>
      <c r="R349" s="150"/>
      <c r="S349" s="150"/>
      <c r="T349" s="150"/>
      <c r="U349" s="150"/>
      <c r="V349" s="150"/>
      <c r="W349" s="150"/>
      <c r="X349" s="150"/>
      <c r="Y349" s="150"/>
      <c r="Z349" s="150"/>
    </row>
    <row r="350" customFormat="false" ht="14.25" hidden="false" customHeight="true" outlineLevel="0" collapsed="false">
      <c r="A350" s="217"/>
      <c r="B350" s="217"/>
      <c r="C350" s="217"/>
      <c r="D350" s="218"/>
      <c r="E350" s="219"/>
      <c r="F350" s="220"/>
      <c r="G350" s="221"/>
      <c r="H350" s="221"/>
      <c r="I350" s="222"/>
      <c r="J350" s="222"/>
      <c r="K350" s="222"/>
      <c r="L350" s="222"/>
      <c r="M350" s="222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customFormat="false" ht="14.25" hidden="false" customHeight="true" outlineLevel="0" collapsed="false">
      <c r="A351" s="217"/>
      <c r="B351" s="217"/>
      <c r="C351" s="217"/>
      <c r="D351" s="218"/>
      <c r="E351" s="219"/>
      <c r="F351" s="220"/>
      <c r="G351" s="221"/>
      <c r="H351" s="221"/>
      <c r="I351" s="222"/>
      <c r="J351" s="222"/>
      <c r="K351" s="222"/>
      <c r="L351" s="222"/>
      <c r="M351" s="222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customFormat="false" ht="14.25" hidden="false" customHeight="true" outlineLevel="0" collapsed="false">
      <c r="A352" s="217"/>
      <c r="B352" s="217"/>
      <c r="C352" s="217"/>
      <c r="D352" s="218"/>
      <c r="E352" s="219"/>
      <c r="F352" s="220"/>
      <c r="G352" s="221"/>
      <c r="H352" s="221"/>
      <c r="I352" s="222"/>
      <c r="J352" s="222"/>
      <c r="K352" s="222"/>
      <c r="L352" s="222"/>
      <c r="M352" s="222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customFormat="false" ht="14.25" hidden="false" customHeight="true" outlineLevel="0" collapsed="false">
      <c r="A353" s="217"/>
      <c r="B353" s="217"/>
      <c r="C353" s="217"/>
      <c r="D353" s="218"/>
      <c r="E353" s="219"/>
      <c r="F353" s="220"/>
      <c r="G353" s="221"/>
      <c r="H353" s="221"/>
      <c r="I353" s="222"/>
      <c r="J353" s="222"/>
      <c r="K353" s="222"/>
      <c r="L353" s="222"/>
      <c r="M353" s="222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customFormat="false" ht="14.25" hidden="false" customHeight="true" outlineLevel="0" collapsed="false">
      <c r="A354" s="217"/>
      <c r="B354" s="217"/>
      <c r="C354" s="217"/>
      <c r="D354" s="218"/>
      <c r="E354" s="219"/>
      <c r="F354" s="220"/>
      <c r="G354" s="221"/>
      <c r="H354" s="221"/>
      <c r="I354" s="222"/>
      <c r="J354" s="222"/>
      <c r="K354" s="222"/>
      <c r="L354" s="222"/>
      <c r="M354" s="222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customFormat="false" ht="14.25" hidden="false" customHeight="true" outlineLevel="0" collapsed="false">
      <c r="A355" s="217"/>
      <c r="B355" s="217"/>
      <c r="C355" s="217"/>
      <c r="D355" s="218"/>
      <c r="E355" s="219"/>
      <c r="F355" s="220"/>
      <c r="G355" s="221"/>
      <c r="H355" s="221"/>
      <c r="I355" s="222"/>
      <c r="J355" s="222"/>
      <c r="K355" s="222"/>
      <c r="L355" s="222"/>
      <c r="M355" s="222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customFormat="false" ht="14.25" hidden="false" customHeight="true" outlineLevel="0" collapsed="false">
      <c r="A356" s="217"/>
      <c r="B356" s="217"/>
      <c r="C356" s="217"/>
      <c r="D356" s="218"/>
      <c r="E356" s="219"/>
      <c r="F356" s="220"/>
      <c r="G356" s="221"/>
      <c r="H356" s="221"/>
      <c r="I356" s="222"/>
      <c r="J356" s="222"/>
      <c r="K356" s="222"/>
      <c r="L356" s="222"/>
      <c r="M356" s="222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customFormat="false" ht="14.25" hidden="false" customHeight="true" outlineLevel="0" collapsed="false">
      <c r="A357" s="217"/>
      <c r="B357" s="217"/>
      <c r="C357" s="217"/>
      <c r="D357" s="218"/>
      <c r="E357" s="219"/>
      <c r="F357" s="220"/>
      <c r="G357" s="221"/>
      <c r="H357" s="221"/>
      <c r="I357" s="222"/>
      <c r="J357" s="222"/>
      <c r="K357" s="222"/>
      <c r="L357" s="222"/>
      <c r="M357" s="222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customFormat="false" ht="14.25" hidden="false" customHeight="true" outlineLevel="0" collapsed="false">
      <c r="A358" s="217"/>
      <c r="B358" s="217"/>
      <c r="C358" s="217"/>
      <c r="D358" s="218"/>
      <c r="E358" s="219"/>
      <c r="F358" s="220"/>
      <c r="G358" s="221"/>
      <c r="H358" s="221"/>
      <c r="I358" s="222"/>
      <c r="J358" s="222"/>
      <c r="K358" s="222"/>
      <c r="L358" s="222"/>
      <c r="M358" s="222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customFormat="false" ht="14.25" hidden="false" customHeight="true" outlineLevel="0" collapsed="false">
      <c r="A359" s="217"/>
      <c r="B359" s="217"/>
      <c r="C359" s="217"/>
      <c r="D359" s="218"/>
      <c r="E359" s="219"/>
      <c r="F359" s="220"/>
      <c r="G359" s="221"/>
      <c r="H359" s="221"/>
      <c r="I359" s="222"/>
      <c r="J359" s="222"/>
      <c r="K359" s="222"/>
      <c r="L359" s="222"/>
      <c r="M359" s="222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customFormat="false" ht="14.25" hidden="false" customHeight="true" outlineLevel="0" collapsed="false">
      <c r="A360" s="217"/>
      <c r="B360" s="217"/>
      <c r="C360" s="217"/>
      <c r="D360" s="218"/>
      <c r="E360" s="219"/>
      <c r="F360" s="220"/>
      <c r="G360" s="221"/>
      <c r="H360" s="221"/>
      <c r="I360" s="222"/>
      <c r="J360" s="222"/>
      <c r="K360" s="222"/>
      <c r="L360" s="222"/>
      <c r="M360" s="222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customFormat="false" ht="14.25" hidden="false" customHeight="true" outlineLevel="0" collapsed="false">
      <c r="A361" s="217"/>
      <c r="B361" s="217"/>
      <c r="C361" s="217"/>
      <c r="D361" s="218"/>
      <c r="E361" s="219"/>
      <c r="F361" s="220"/>
      <c r="G361" s="221"/>
      <c r="H361" s="221"/>
      <c r="I361" s="222"/>
      <c r="J361" s="222"/>
      <c r="K361" s="222"/>
      <c r="L361" s="222"/>
      <c r="M361" s="222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customFormat="false" ht="14.25" hidden="false" customHeight="true" outlineLevel="0" collapsed="false">
      <c r="A362" s="217"/>
      <c r="B362" s="217"/>
      <c r="C362" s="217"/>
      <c r="D362" s="218"/>
      <c r="E362" s="219"/>
      <c r="F362" s="220"/>
      <c r="G362" s="221"/>
      <c r="H362" s="221"/>
      <c r="I362" s="222"/>
      <c r="J362" s="222"/>
      <c r="K362" s="222"/>
      <c r="L362" s="222"/>
      <c r="M362" s="222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customFormat="false" ht="14.25" hidden="false" customHeight="true" outlineLevel="0" collapsed="false">
      <c r="A363" s="217"/>
      <c r="B363" s="217"/>
      <c r="C363" s="217"/>
      <c r="D363" s="218"/>
      <c r="E363" s="219"/>
      <c r="F363" s="220"/>
      <c r="G363" s="221"/>
      <c r="H363" s="221"/>
      <c r="I363" s="222"/>
      <c r="J363" s="222"/>
      <c r="K363" s="222"/>
      <c r="L363" s="222"/>
      <c r="M363" s="222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customFormat="false" ht="14.25" hidden="false" customHeight="true" outlineLevel="0" collapsed="false">
      <c r="A364" s="217"/>
      <c r="B364" s="217"/>
      <c r="C364" s="217"/>
      <c r="D364" s="218"/>
      <c r="E364" s="219"/>
      <c r="F364" s="220"/>
      <c r="G364" s="221"/>
      <c r="H364" s="221"/>
      <c r="I364" s="222"/>
      <c r="J364" s="222"/>
      <c r="K364" s="222"/>
      <c r="L364" s="222"/>
      <c r="M364" s="222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customFormat="false" ht="14.25" hidden="false" customHeight="true" outlineLevel="0" collapsed="false">
      <c r="A365" s="217"/>
      <c r="B365" s="217"/>
      <c r="C365" s="217"/>
      <c r="D365" s="218"/>
      <c r="E365" s="219"/>
      <c r="F365" s="220"/>
      <c r="G365" s="221"/>
      <c r="H365" s="221"/>
      <c r="I365" s="222"/>
      <c r="J365" s="222"/>
      <c r="K365" s="222"/>
      <c r="L365" s="222"/>
      <c r="M365" s="222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customFormat="false" ht="14.25" hidden="false" customHeight="true" outlineLevel="0" collapsed="false">
      <c r="A366" s="217"/>
      <c r="B366" s="217"/>
      <c r="C366" s="217"/>
      <c r="D366" s="218"/>
      <c r="E366" s="219"/>
      <c r="F366" s="220"/>
      <c r="G366" s="221"/>
      <c r="H366" s="221"/>
      <c r="I366" s="222"/>
      <c r="J366" s="222"/>
      <c r="K366" s="222"/>
      <c r="L366" s="222"/>
      <c r="M366" s="222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customFormat="false" ht="14.25" hidden="false" customHeight="true" outlineLevel="0" collapsed="false">
      <c r="A367" s="217"/>
      <c r="B367" s="217"/>
      <c r="C367" s="217"/>
      <c r="D367" s="218"/>
      <c r="E367" s="219"/>
      <c r="F367" s="220"/>
      <c r="G367" s="221"/>
      <c r="H367" s="221"/>
      <c r="I367" s="222"/>
      <c r="J367" s="222"/>
      <c r="K367" s="222"/>
      <c r="L367" s="222"/>
      <c r="M367" s="222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customFormat="false" ht="14.25" hidden="false" customHeight="true" outlineLevel="0" collapsed="false">
      <c r="A368" s="217"/>
      <c r="B368" s="217"/>
      <c r="C368" s="217"/>
      <c r="D368" s="218"/>
      <c r="E368" s="219"/>
      <c r="F368" s="220"/>
      <c r="G368" s="221"/>
      <c r="H368" s="221"/>
      <c r="I368" s="222"/>
      <c r="J368" s="222"/>
      <c r="K368" s="222"/>
      <c r="L368" s="222"/>
      <c r="M368" s="222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customFormat="false" ht="14.25" hidden="false" customHeight="true" outlineLevel="0" collapsed="false">
      <c r="A369" s="217"/>
      <c r="B369" s="217"/>
      <c r="C369" s="217"/>
      <c r="D369" s="218"/>
      <c r="E369" s="219"/>
      <c r="F369" s="220"/>
      <c r="G369" s="221"/>
      <c r="H369" s="221"/>
      <c r="I369" s="222"/>
      <c r="J369" s="222"/>
      <c r="K369" s="222"/>
      <c r="L369" s="222"/>
      <c r="M369" s="222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customFormat="false" ht="14.25" hidden="false" customHeight="true" outlineLevel="0" collapsed="false">
      <c r="A370" s="217"/>
      <c r="B370" s="217"/>
      <c r="C370" s="217"/>
      <c r="D370" s="218"/>
      <c r="E370" s="219"/>
      <c r="F370" s="220"/>
      <c r="G370" s="221"/>
      <c r="H370" s="221"/>
      <c r="I370" s="222"/>
      <c r="J370" s="222"/>
      <c r="K370" s="222"/>
      <c r="L370" s="222"/>
      <c r="M370" s="222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customFormat="false" ht="14.25" hidden="false" customHeight="true" outlineLevel="0" collapsed="false">
      <c r="A371" s="217"/>
      <c r="B371" s="217"/>
      <c r="C371" s="217"/>
      <c r="D371" s="218"/>
      <c r="E371" s="219"/>
      <c r="F371" s="220"/>
      <c r="G371" s="221"/>
      <c r="H371" s="221"/>
      <c r="I371" s="222"/>
      <c r="J371" s="222"/>
      <c r="K371" s="222"/>
      <c r="L371" s="222"/>
      <c r="M371" s="222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customFormat="false" ht="14.25" hidden="false" customHeight="true" outlineLevel="0" collapsed="false">
      <c r="A372" s="217"/>
      <c r="B372" s="217"/>
      <c r="C372" s="217"/>
      <c r="D372" s="218"/>
      <c r="E372" s="219"/>
      <c r="F372" s="220"/>
      <c r="G372" s="221"/>
      <c r="H372" s="221"/>
      <c r="I372" s="222"/>
      <c r="J372" s="222"/>
      <c r="K372" s="222"/>
      <c r="L372" s="222"/>
      <c r="M372" s="222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customFormat="false" ht="14.25" hidden="false" customHeight="true" outlineLevel="0" collapsed="false">
      <c r="A373" s="217"/>
      <c r="B373" s="217"/>
      <c r="C373" s="217"/>
      <c r="D373" s="218"/>
      <c r="E373" s="219"/>
      <c r="F373" s="220"/>
      <c r="G373" s="221"/>
      <c r="H373" s="221"/>
      <c r="I373" s="222"/>
      <c r="J373" s="222"/>
      <c r="K373" s="222"/>
      <c r="L373" s="222"/>
      <c r="M373" s="222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customFormat="false" ht="14.25" hidden="false" customHeight="true" outlineLevel="0" collapsed="false">
      <c r="A374" s="217"/>
      <c r="B374" s="217"/>
      <c r="C374" s="217"/>
      <c r="D374" s="218"/>
      <c r="E374" s="219"/>
      <c r="F374" s="220"/>
      <c r="G374" s="221"/>
      <c r="H374" s="221"/>
      <c r="I374" s="222"/>
      <c r="J374" s="222"/>
      <c r="K374" s="222"/>
      <c r="L374" s="222"/>
      <c r="M374" s="222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customFormat="false" ht="14.25" hidden="false" customHeight="true" outlineLevel="0" collapsed="false">
      <c r="A375" s="217"/>
      <c r="B375" s="217"/>
      <c r="C375" s="217"/>
      <c r="D375" s="218"/>
      <c r="E375" s="219"/>
      <c r="F375" s="220"/>
      <c r="G375" s="221"/>
      <c r="H375" s="221"/>
      <c r="I375" s="222"/>
      <c r="J375" s="222"/>
      <c r="K375" s="222"/>
      <c r="L375" s="222"/>
      <c r="M375" s="222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customFormat="false" ht="14.25" hidden="false" customHeight="true" outlineLevel="0" collapsed="false">
      <c r="A376" s="217"/>
      <c r="B376" s="217"/>
      <c r="C376" s="217"/>
      <c r="D376" s="218"/>
      <c r="E376" s="219"/>
      <c r="F376" s="220"/>
      <c r="G376" s="221"/>
      <c r="H376" s="221"/>
      <c r="I376" s="222"/>
      <c r="J376" s="222"/>
      <c r="K376" s="222"/>
      <c r="L376" s="222"/>
      <c r="M376" s="222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customFormat="false" ht="14.25" hidden="false" customHeight="true" outlineLevel="0" collapsed="false">
      <c r="A377" s="217"/>
      <c r="B377" s="217"/>
      <c r="C377" s="217"/>
      <c r="D377" s="218"/>
      <c r="E377" s="219"/>
      <c r="F377" s="220"/>
      <c r="G377" s="221"/>
      <c r="H377" s="221"/>
      <c r="I377" s="222"/>
      <c r="J377" s="222"/>
      <c r="K377" s="222"/>
      <c r="L377" s="222"/>
      <c r="M377" s="222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customFormat="false" ht="14.25" hidden="false" customHeight="true" outlineLevel="0" collapsed="false">
      <c r="A378" s="217"/>
      <c r="B378" s="217"/>
      <c r="C378" s="217"/>
      <c r="D378" s="218"/>
      <c r="E378" s="219"/>
      <c r="F378" s="220"/>
      <c r="G378" s="221"/>
      <c r="H378" s="221"/>
      <c r="I378" s="222"/>
      <c r="J378" s="222"/>
      <c r="K378" s="222"/>
      <c r="L378" s="222"/>
      <c r="M378" s="222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customFormat="false" ht="14.25" hidden="false" customHeight="true" outlineLevel="0" collapsed="false">
      <c r="A379" s="217"/>
      <c r="B379" s="217"/>
      <c r="C379" s="217"/>
      <c r="D379" s="218"/>
      <c r="E379" s="219"/>
      <c r="F379" s="220"/>
      <c r="G379" s="221"/>
      <c r="H379" s="221"/>
      <c r="I379" s="222"/>
      <c r="J379" s="222"/>
      <c r="K379" s="222"/>
      <c r="L379" s="222"/>
      <c r="M379" s="222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customFormat="false" ht="14.25" hidden="false" customHeight="true" outlineLevel="0" collapsed="false">
      <c r="A380" s="217"/>
      <c r="B380" s="217"/>
      <c r="C380" s="217"/>
      <c r="D380" s="218"/>
      <c r="E380" s="219"/>
      <c r="F380" s="220"/>
      <c r="G380" s="221"/>
      <c r="H380" s="221"/>
      <c r="I380" s="222"/>
      <c r="J380" s="222"/>
      <c r="K380" s="222"/>
      <c r="L380" s="222"/>
      <c r="M380" s="222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customFormat="false" ht="14.25" hidden="false" customHeight="true" outlineLevel="0" collapsed="false">
      <c r="A381" s="217"/>
      <c r="B381" s="217"/>
      <c r="C381" s="217"/>
      <c r="D381" s="218"/>
      <c r="E381" s="219"/>
      <c r="F381" s="220"/>
      <c r="G381" s="221"/>
      <c r="H381" s="221"/>
      <c r="I381" s="222"/>
      <c r="J381" s="222"/>
      <c r="K381" s="222"/>
      <c r="L381" s="222"/>
      <c r="M381" s="222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customFormat="false" ht="14.25" hidden="false" customHeight="true" outlineLevel="0" collapsed="false">
      <c r="A382" s="217"/>
      <c r="B382" s="217"/>
      <c r="C382" s="217"/>
      <c r="D382" s="218"/>
      <c r="E382" s="219"/>
      <c r="F382" s="220"/>
      <c r="G382" s="221"/>
      <c r="H382" s="221"/>
      <c r="I382" s="222"/>
      <c r="J382" s="222"/>
      <c r="K382" s="222"/>
      <c r="L382" s="222"/>
      <c r="M382" s="222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customFormat="false" ht="14.25" hidden="false" customHeight="true" outlineLevel="0" collapsed="false">
      <c r="A383" s="217"/>
      <c r="B383" s="217"/>
      <c r="C383" s="217"/>
      <c r="D383" s="218"/>
      <c r="E383" s="219"/>
      <c r="F383" s="220"/>
      <c r="G383" s="221"/>
      <c r="H383" s="221"/>
      <c r="I383" s="222"/>
      <c r="J383" s="222"/>
      <c r="K383" s="222"/>
      <c r="L383" s="222"/>
      <c r="M383" s="222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customFormat="false" ht="14.25" hidden="false" customHeight="true" outlineLevel="0" collapsed="false">
      <c r="A384" s="217"/>
      <c r="B384" s="217"/>
      <c r="C384" s="217"/>
      <c r="D384" s="218"/>
      <c r="E384" s="219"/>
      <c r="F384" s="220"/>
      <c r="G384" s="221"/>
      <c r="H384" s="221"/>
      <c r="I384" s="222"/>
      <c r="J384" s="222"/>
      <c r="K384" s="222"/>
      <c r="L384" s="222"/>
      <c r="M384" s="222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customFormat="false" ht="14.25" hidden="false" customHeight="true" outlineLevel="0" collapsed="false">
      <c r="A385" s="217"/>
      <c r="B385" s="217"/>
      <c r="C385" s="217"/>
      <c r="D385" s="218"/>
      <c r="E385" s="219"/>
      <c r="F385" s="220"/>
      <c r="G385" s="221"/>
      <c r="H385" s="221"/>
      <c r="I385" s="222"/>
      <c r="J385" s="222"/>
      <c r="K385" s="222"/>
      <c r="L385" s="222"/>
      <c r="M385" s="222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customFormat="false" ht="14.25" hidden="false" customHeight="true" outlineLevel="0" collapsed="false">
      <c r="A386" s="217"/>
      <c r="B386" s="217"/>
      <c r="C386" s="217"/>
      <c r="D386" s="218"/>
      <c r="E386" s="219"/>
      <c r="F386" s="220"/>
      <c r="G386" s="221"/>
      <c r="H386" s="221"/>
      <c r="I386" s="222"/>
      <c r="J386" s="222"/>
      <c r="K386" s="222"/>
      <c r="L386" s="222"/>
      <c r="M386" s="222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customFormat="false" ht="14.25" hidden="false" customHeight="true" outlineLevel="0" collapsed="false">
      <c r="A387" s="217"/>
      <c r="B387" s="217"/>
      <c r="C387" s="217"/>
      <c r="D387" s="218"/>
      <c r="E387" s="219"/>
      <c r="F387" s="220"/>
      <c r="G387" s="221"/>
      <c r="H387" s="221"/>
      <c r="I387" s="222"/>
      <c r="J387" s="222"/>
      <c r="K387" s="222"/>
      <c r="L387" s="222"/>
      <c r="M387" s="222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customFormat="false" ht="14.25" hidden="false" customHeight="true" outlineLevel="0" collapsed="false">
      <c r="A388" s="217"/>
      <c r="B388" s="217"/>
      <c r="C388" s="217"/>
      <c r="D388" s="218"/>
      <c r="E388" s="219"/>
      <c r="F388" s="220"/>
      <c r="G388" s="221"/>
      <c r="H388" s="221"/>
      <c r="I388" s="222"/>
      <c r="J388" s="222"/>
      <c r="K388" s="222"/>
      <c r="L388" s="222"/>
      <c r="M388" s="222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customFormat="false" ht="14.25" hidden="false" customHeight="true" outlineLevel="0" collapsed="false">
      <c r="A389" s="217"/>
      <c r="B389" s="217"/>
      <c r="C389" s="217"/>
      <c r="D389" s="218"/>
      <c r="E389" s="219"/>
      <c r="F389" s="220"/>
      <c r="G389" s="221"/>
      <c r="H389" s="221"/>
      <c r="I389" s="222"/>
      <c r="J389" s="222"/>
      <c r="K389" s="222"/>
      <c r="L389" s="222"/>
      <c r="M389" s="222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customFormat="false" ht="14.25" hidden="false" customHeight="true" outlineLevel="0" collapsed="false">
      <c r="A390" s="217"/>
      <c r="B390" s="217"/>
      <c r="C390" s="217"/>
      <c r="D390" s="218"/>
      <c r="E390" s="219"/>
      <c r="F390" s="220"/>
      <c r="G390" s="221"/>
      <c r="H390" s="221"/>
      <c r="I390" s="222"/>
      <c r="J390" s="222"/>
      <c r="K390" s="222"/>
      <c r="L390" s="222"/>
      <c r="M390" s="222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customFormat="false" ht="14.25" hidden="false" customHeight="true" outlineLevel="0" collapsed="false">
      <c r="A391" s="217"/>
      <c r="B391" s="217"/>
      <c r="C391" s="217"/>
      <c r="D391" s="218"/>
      <c r="E391" s="219"/>
      <c r="F391" s="220"/>
      <c r="G391" s="221"/>
      <c r="H391" s="221"/>
      <c r="I391" s="222"/>
      <c r="J391" s="222"/>
      <c r="K391" s="222"/>
      <c r="L391" s="222"/>
      <c r="M391" s="222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customFormat="false" ht="14.25" hidden="false" customHeight="true" outlineLevel="0" collapsed="false">
      <c r="A392" s="217"/>
      <c r="B392" s="217"/>
      <c r="C392" s="217"/>
      <c r="D392" s="218"/>
      <c r="E392" s="219"/>
      <c r="F392" s="220"/>
      <c r="G392" s="221"/>
      <c r="H392" s="221"/>
      <c r="I392" s="222"/>
      <c r="J392" s="222"/>
      <c r="K392" s="222"/>
      <c r="L392" s="222"/>
      <c r="M392" s="222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customFormat="false" ht="14.25" hidden="false" customHeight="true" outlineLevel="0" collapsed="false">
      <c r="A393" s="217"/>
      <c r="B393" s="217"/>
      <c r="C393" s="217"/>
      <c r="D393" s="218"/>
      <c r="E393" s="219"/>
      <c r="F393" s="220"/>
      <c r="G393" s="221"/>
      <c r="H393" s="221"/>
      <c r="I393" s="222"/>
      <c r="J393" s="222"/>
      <c r="K393" s="222"/>
      <c r="L393" s="222"/>
      <c r="M393" s="222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customFormat="false" ht="14.25" hidden="false" customHeight="true" outlineLevel="0" collapsed="false">
      <c r="A394" s="217"/>
      <c r="B394" s="217"/>
      <c r="C394" s="217"/>
      <c r="D394" s="218"/>
      <c r="E394" s="219"/>
      <c r="F394" s="220"/>
      <c r="G394" s="221"/>
      <c r="H394" s="221"/>
      <c r="I394" s="222"/>
      <c r="J394" s="222"/>
      <c r="K394" s="222"/>
      <c r="L394" s="222"/>
      <c r="M394" s="222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customFormat="false" ht="14.25" hidden="false" customHeight="true" outlineLevel="0" collapsed="false">
      <c r="A395" s="217"/>
      <c r="B395" s="217"/>
      <c r="C395" s="217"/>
      <c r="D395" s="218"/>
      <c r="E395" s="219"/>
      <c r="F395" s="220"/>
      <c r="G395" s="221"/>
      <c r="H395" s="221"/>
      <c r="I395" s="222"/>
      <c r="J395" s="222"/>
      <c r="K395" s="222"/>
      <c r="L395" s="222"/>
      <c r="M395" s="222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customFormat="false" ht="14.25" hidden="false" customHeight="true" outlineLevel="0" collapsed="false">
      <c r="A396" s="217"/>
      <c r="B396" s="217"/>
      <c r="C396" s="217"/>
      <c r="D396" s="218"/>
      <c r="E396" s="219"/>
      <c r="F396" s="220"/>
      <c r="G396" s="221"/>
      <c r="H396" s="221"/>
      <c r="I396" s="222"/>
      <c r="J396" s="222"/>
      <c r="K396" s="222"/>
      <c r="L396" s="222"/>
      <c r="M396" s="222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customFormat="false" ht="14.25" hidden="false" customHeight="true" outlineLevel="0" collapsed="false">
      <c r="A397" s="217"/>
      <c r="B397" s="217"/>
      <c r="C397" s="217"/>
      <c r="D397" s="218"/>
      <c r="E397" s="219"/>
      <c r="F397" s="220"/>
      <c r="G397" s="221"/>
      <c r="H397" s="221"/>
      <c r="I397" s="222"/>
      <c r="J397" s="222"/>
      <c r="K397" s="222"/>
      <c r="L397" s="222"/>
      <c r="M397" s="222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customFormat="false" ht="14.25" hidden="false" customHeight="true" outlineLevel="0" collapsed="false">
      <c r="A398" s="217"/>
      <c r="B398" s="217"/>
      <c r="C398" s="217"/>
      <c r="D398" s="218"/>
      <c r="E398" s="219"/>
      <c r="F398" s="220"/>
      <c r="G398" s="221"/>
      <c r="H398" s="221"/>
      <c r="I398" s="222"/>
      <c r="J398" s="222"/>
      <c r="K398" s="222"/>
      <c r="L398" s="222"/>
      <c r="M398" s="222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customFormat="false" ht="14.25" hidden="false" customHeight="true" outlineLevel="0" collapsed="false">
      <c r="A399" s="217"/>
      <c r="B399" s="217"/>
      <c r="C399" s="217"/>
      <c r="D399" s="218"/>
      <c r="E399" s="219"/>
      <c r="F399" s="220"/>
      <c r="G399" s="221"/>
      <c r="H399" s="221"/>
      <c r="I399" s="222"/>
      <c r="J399" s="222"/>
      <c r="K399" s="222"/>
      <c r="L399" s="222"/>
      <c r="M399" s="222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customFormat="false" ht="14.25" hidden="false" customHeight="true" outlineLevel="0" collapsed="false">
      <c r="A400" s="217"/>
      <c r="B400" s="217"/>
      <c r="C400" s="217"/>
      <c r="D400" s="218"/>
      <c r="E400" s="219"/>
      <c r="F400" s="220"/>
      <c r="G400" s="221"/>
      <c r="H400" s="221"/>
      <c r="I400" s="222"/>
      <c r="J400" s="222"/>
      <c r="K400" s="222"/>
      <c r="L400" s="222"/>
      <c r="M400" s="222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customFormat="false" ht="14.25" hidden="false" customHeight="true" outlineLevel="0" collapsed="false">
      <c r="A401" s="217"/>
      <c r="B401" s="217"/>
      <c r="C401" s="217"/>
      <c r="D401" s="218"/>
      <c r="E401" s="219"/>
      <c r="F401" s="220"/>
      <c r="G401" s="221"/>
      <c r="H401" s="221"/>
      <c r="I401" s="222"/>
      <c r="J401" s="222"/>
      <c r="K401" s="222"/>
      <c r="L401" s="222"/>
      <c r="M401" s="222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customFormat="false" ht="14.25" hidden="false" customHeight="true" outlineLevel="0" collapsed="false">
      <c r="A402" s="217"/>
      <c r="B402" s="217"/>
      <c r="C402" s="217"/>
      <c r="D402" s="218"/>
      <c r="E402" s="219"/>
      <c r="F402" s="220"/>
      <c r="G402" s="221"/>
      <c r="H402" s="221"/>
      <c r="I402" s="222"/>
      <c r="J402" s="222"/>
      <c r="K402" s="222"/>
      <c r="L402" s="222"/>
      <c r="M402" s="222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customFormat="false" ht="14.25" hidden="false" customHeight="true" outlineLevel="0" collapsed="false">
      <c r="A403" s="217"/>
      <c r="B403" s="217"/>
      <c r="C403" s="217"/>
      <c r="D403" s="218"/>
      <c r="E403" s="219"/>
      <c r="F403" s="220"/>
      <c r="G403" s="221"/>
      <c r="H403" s="221"/>
      <c r="I403" s="222"/>
      <c r="J403" s="222"/>
      <c r="K403" s="222"/>
      <c r="L403" s="222"/>
      <c r="M403" s="222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customFormat="false" ht="14.25" hidden="false" customHeight="true" outlineLevel="0" collapsed="false">
      <c r="A404" s="217"/>
      <c r="B404" s="217"/>
      <c r="C404" s="217"/>
      <c r="D404" s="218"/>
      <c r="E404" s="219"/>
      <c r="F404" s="220"/>
      <c r="G404" s="221"/>
      <c r="H404" s="221"/>
      <c r="I404" s="222"/>
      <c r="J404" s="222"/>
      <c r="K404" s="222"/>
      <c r="L404" s="222"/>
      <c r="M404" s="222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customFormat="false" ht="14.25" hidden="false" customHeight="true" outlineLevel="0" collapsed="false">
      <c r="A405" s="217"/>
      <c r="B405" s="217"/>
      <c r="C405" s="217"/>
      <c r="D405" s="218"/>
      <c r="E405" s="219"/>
      <c r="F405" s="220"/>
      <c r="G405" s="221"/>
      <c r="H405" s="221"/>
      <c r="I405" s="222"/>
      <c r="J405" s="222"/>
      <c r="K405" s="222"/>
      <c r="L405" s="222"/>
      <c r="M405" s="222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customFormat="false" ht="14.25" hidden="false" customHeight="true" outlineLevel="0" collapsed="false">
      <c r="A406" s="217"/>
      <c r="B406" s="217"/>
      <c r="C406" s="217"/>
      <c r="D406" s="218"/>
      <c r="E406" s="219"/>
      <c r="F406" s="220"/>
      <c r="G406" s="221"/>
      <c r="H406" s="221"/>
      <c r="I406" s="222"/>
      <c r="J406" s="222"/>
      <c r="K406" s="222"/>
      <c r="L406" s="222"/>
      <c r="M406" s="222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customFormat="false" ht="14.25" hidden="false" customHeight="true" outlineLevel="0" collapsed="false">
      <c r="A407" s="217"/>
      <c r="B407" s="217"/>
      <c r="C407" s="217"/>
      <c r="D407" s="218"/>
      <c r="E407" s="219"/>
      <c r="F407" s="220"/>
      <c r="G407" s="221"/>
      <c r="H407" s="221"/>
      <c r="I407" s="222"/>
      <c r="J407" s="222"/>
      <c r="K407" s="222"/>
      <c r="L407" s="222"/>
      <c r="M407" s="222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customFormat="false" ht="14.25" hidden="false" customHeight="true" outlineLevel="0" collapsed="false">
      <c r="A408" s="217"/>
      <c r="B408" s="217"/>
      <c r="C408" s="217"/>
      <c r="D408" s="218"/>
      <c r="E408" s="219"/>
      <c r="F408" s="220"/>
      <c r="G408" s="221"/>
      <c r="H408" s="221"/>
      <c r="I408" s="222"/>
      <c r="J408" s="222"/>
      <c r="K408" s="222"/>
      <c r="L408" s="222"/>
      <c r="M408" s="222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customFormat="false" ht="14.25" hidden="false" customHeight="true" outlineLevel="0" collapsed="false">
      <c r="A409" s="217"/>
      <c r="B409" s="217"/>
      <c r="C409" s="217"/>
      <c r="D409" s="218"/>
      <c r="E409" s="219"/>
      <c r="F409" s="220"/>
      <c r="G409" s="221"/>
      <c r="H409" s="221"/>
      <c r="I409" s="222"/>
      <c r="J409" s="222"/>
      <c r="K409" s="222"/>
      <c r="L409" s="222"/>
      <c r="M409" s="222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customFormat="false" ht="14.25" hidden="false" customHeight="true" outlineLevel="0" collapsed="false">
      <c r="A410" s="217"/>
      <c r="B410" s="217"/>
      <c r="C410" s="217"/>
      <c r="D410" s="218"/>
      <c r="E410" s="219"/>
      <c r="F410" s="220"/>
      <c r="G410" s="221"/>
      <c r="H410" s="221"/>
      <c r="I410" s="222"/>
      <c r="J410" s="222"/>
      <c r="K410" s="222"/>
      <c r="L410" s="222"/>
      <c r="M410" s="222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customFormat="false" ht="14.25" hidden="false" customHeight="true" outlineLevel="0" collapsed="false">
      <c r="A411" s="217"/>
      <c r="B411" s="217"/>
      <c r="C411" s="217"/>
      <c r="D411" s="218"/>
      <c r="E411" s="219"/>
      <c r="F411" s="220"/>
      <c r="G411" s="221"/>
      <c r="H411" s="221"/>
      <c r="I411" s="222"/>
      <c r="J411" s="222"/>
      <c r="K411" s="222"/>
      <c r="L411" s="222"/>
      <c r="M411" s="222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customFormat="false" ht="14.25" hidden="false" customHeight="true" outlineLevel="0" collapsed="false">
      <c r="A412" s="217"/>
      <c r="B412" s="217"/>
      <c r="C412" s="217"/>
      <c r="D412" s="218"/>
      <c r="E412" s="219"/>
      <c r="F412" s="220"/>
      <c r="G412" s="221"/>
      <c r="H412" s="221"/>
      <c r="I412" s="222"/>
      <c r="J412" s="222"/>
      <c r="K412" s="222"/>
      <c r="L412" s="222"/>
      <c r="M412" s="222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customFormat="false" ht="14.25" hidden="false" customHeight="true" outlineLevel="0" collapsed="false">
      <c r="A413" s="217"/>
      <c r="B413" s="217"/>
      <c r="C413" s="217"/>
      <c r="D413" s="218"/>
      <c r="E413" s="219"/>
      <c r="F413" s="220"/>
      <c r="G413" s="221"/>
      <c r="H413" s="221"/>
      <c r="I413" s="222"/>
      <c r="J413" s="222"/>
      <c r="K413" s="222"/>
      <c r="L413" s="222"/>
      <c r="M413" s="222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customFormat="false" ht="14.25" hidden="false" customHeight="true" outlineLevel="0" collapsed="false">
      <c r="A414" s="217"/>
      <c r="B414" s="217"/>
      <c r="C414" s="217"/>
      <c r="D414" s="218"/>
      <c r="E414" s="219"/>
      <c r="F414" s="220"/>
      <c r="G414" s="221"/>
      <c r="H414" s="221"/>
      <c r="I414" s="222"/>
      <c r="J414" s="222"/>
      <c r="K414" s="222"/>
      <c r="L414" s="222"/>
      <c r="M414" s="222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customFormat="false" ht="14.25" hidden="false" customHeight="true" outlineLevel="0" collapsed="false">
      <c r="A415" s="217"/>
      <c r="B415" s="217"/>
      <c r="C415" s="217"/>
      <c r="D415" s="218"/>
      <c r="E415" s="219"/>
      <c r="F415" s="220"/>
      <c r="G415" s="221"/>
      <c r="H415" s="221"/>
      <c r="I415" s="222"/>
      <c r="J415" s="222"/>
      <c r="K415" s="222"/>
      <c r="L415" s="222"/>
      <c r="M415" s="222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customFormat="false" ht="14.25" hidden="false" customHeight="true" outlineLevel="0" collapsed="false">
      <c r="A416" s="217"/>
      <c r="B416" s="217"/>
      <c r="C416" s="217"/>
      <c r="D416" s="218"/>
      <c r="E416" s="219"/>
      <c r="F416" s="220"/>
      <c r="G416" s="221"/>
      <c r="H416" s="221"/>
      <c r="I416" s="222"/>
      <c r="J416" s="222"/>
      <c r="K416" s="222"/>
      <c r="L416" s="222"/>
      <c r="M416" s="222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customFormat="false" ht="14.25" hidden="false" customHeight="true" outlineLevel="0" collapsed="false">
      <c r="A417" s="217"/>
      <c r="B417" s="217"/>
      <c r="C417" s="217"/>
      <c r="D417" s="218"/>
      <c r="E417" s="219"/>
      <c r="F417" s="220"/>
      <c r="G417" s="221"/>
      <c r="H417" s="221"/>
      <c r="I417" s="222"/>
      <c r="J417" s="222"/>
      <c r="K417" s="222"/>
      <c r="L417" s="222"/>
      <c r="M417" s="222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customFormat="false" ht="14.25" hidden="false" customHeight="true" outlineLevel="0" collapsed="false">
      <c r="A418" s="217"/>
      <c r="B418" s="217"/>
      <c r="C418" s="217"/>
      <c r="D418" s="218"/>
      <c r="E418" s="219"/>
      <c r="F418" s="220"/>
      <c r="G418" s="221"/>
      <c r="H418" s="221"/>
      <c r="I418" s="222"/>
      <c r="J418" s="222"/>
      <c r="K418" s="222"/>
      <c r="L418" s="222"/>
      <c r="M418" s="222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customFormat="false" ht="14.25" hidden="false" customHeight="true" outlineLevel="0" collapsed="false">
      <c r="A419" s="217"/>
      <c r="B419" s="217"/>
      <c r="C419" s="217"/>
      <c r="D419" s="218"/>
      <c r="E419" s="219"/>
      <c r="F419" s="220"/>
      <c r="G419" s="221"/>
      <c r="H419" s="221"/>
      <c r="I419" s="222"/>
      <c r="J419" s="222"/>
      <c r="K419" s="222"/>
      <c r="L419" s="222"/>
      <c r="M419" s="222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customFormat="false" ht="14.25" hidden="false" customHeight="true" outlineLevel="0" collapsed="false">
      <c r="A420" s="217"/>
      <c r="B420" s="217"/>
      <c r="C420" s="217"/>
      <c r="D420" s="218"/>
      <c r="E420" s="219"/>
      <c r="F420" s="220"/>
      <c r="G420" s="221"/>
      <c r="H420" s="221"/>
      <c r="I420" s="222"/>
      <c r="J420" s="222"/>
      <c r="K420" s="222"/>
      <c r="L420" s="222"/>
      <c r="M420" s="222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customFormat="false" ht="14.25" hidden="false" customHeight="true" outlineLevel="0" collapsed="false">
      <c r="A421" s="217"/>
      <c r="B421" s="217"/>
      <c r="C421" s="217"/>
      <c r="D421" s="218"/>
      <c r="E421" s="219"/>
      <c r="F421" s="220"/>
      <c r="G421" s="221"/>
      <c r="H421" s="221"/>
      <c r="I421" s="222"/>
      <c r="J421" s="222"/>
      <c r="K421" s="222"/>
      <c r="L421" s="222"/>
      <c r="M421" s="222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customFormat="false" ht="14.25" hidden="false" customHeight="true" outlineLevel="0" collapsed="false">
      <c r="A422" s="217"/>
      <c r="B422" s="217"/>
      <c r="C422" s="217"/>
      <c r="D422" s="218"/>
      <c r="E422" s="219"/>
      <c r="F422" s="220"/>
      <c r="G422" s="221"/>
      <c r="H422" s="221"/>
      <c r="I422" s="222"/>
      <c r="J422" s="222"/>
      <c r="K422" s="222"/>
      <c r="L422" s="222"/>
      <c r="M422" s="222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customFormat="false" ht="14.25" hidden="false" customHeight="true" outlineLevel="0" collapsed="false">
      <c r="A423" s="217"/>
      <c r="B423" s="217"/>
      <c r="C423" s="217"/>
      <c r="D423" s="218"/>
      <c r="E423" s="219"/>
      <c r="F423" s="220"/>
      <c r="G423" s="221"/>
      <c r="H423" s="221"/>
      <c r="I423" s="222"/>
      <c r="J423" s="222"/>
      <c r="K423" s="222"/>
      <c r="L423" s="222"/>
      <c r="M423" s="222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customFormat="false" ht="14.25" hidden="false" customHeight="true" outlineLevel="0" collapsed="false">
      <c r="A424" s="217"/>
      <c r="B424" s="217"/>
      <c r="C424" s="217"/>
      <c r="D424" s="218"/>
      <c r="E424" s="219"/>
      <c r="F424" s="220"/>
      <c r="G424" s="221"/>
      <c r="H424" s="221"/>
      <c r="I424" s="222"/>
      <c r="J424" s="222"/>
      <c r="K424" s="222"/>
      <c r="L424" s="222"/>
      <c r="M424" s="222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customFormat="false" ht="14.25" hidden="false" customHeight="true" outlineLevel="0" collapsed="false">
      <c r="A425" s="217"/>
      <c r="B425" s="217"/>
      <c r="C425" s="217"/>
      <c r="D425" s="218"/>
      <c r="E425" s="219"/>
      <c r="F425" s="220"/>
      <c r="G425" s="221"/>
      <c r="H425" s="221"/>
      <c r="I425" s="222"/>
      <c r="J425" s="222"/>
      <c r="K425" s="222"/>
      <c r="L425" s="222"/>
      <c r="M425" s="222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customFormat="false" ht="14.25" hidden="false" customHeight="true" outlineLevel="0" collapsed="false">
      <c r="A426" s="217"/>
      <c r="B426" s="217"/>
      <c r="C426" s="217"/>
      <c r="D426" s="218"/>
      <c r="E426" s="219"/>
      <c r="F426" s="220"/>
      <c r="G426" s="221"/>
      <c r="H426" s="221"/>
      <c r="I426" s="222"/>
      <c r="J426" s="222"/>
      <c r="K426" s="222"/>
      <c r="L426" s="222"/>
      <c r="M426" s="222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customFormat="false" ht="14.25" hidden="false" customHeight="true" outlineLevel="0" collapsed="false">
      <c r="A427" s="217"/>
      <c r="B427" s="217"/>
      <c r="C427" s="217"/>
      <c r="D427" s="218"/>
      <c r="E427" s="219"/>
      <c r="F427" s="220"/>
      <c r="G427" s="221"/>
      <c r="H427" s="221"/>
      <c r="I427" s="222"/>
      <c r="J427" s="222"/>
      <c r="K427" s="222"/>
      <c r="L427" s="222"/>
      <c r="M427" s="222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customFormat="false" ht="14.25" hidden="false" customHeight="true" outlineLevel="0" collapsed="false">
      <c r="A428" s="217"/>
      <c r="B428" s="217"/>
      <c r="C428" s="217"/>
      <c r="D428" s="218"/>
      <c r="E428" s="219"/>
      <c r="F428" s="220"/>
      <c r="G428" s="221"/>
      <c r="H428" s="221"/>
      <c r="I428" s="222"/>
      <c r="J428" s="222"/>
      <c r="K428" s="222"/>
      <c r="L428" s="222"/>
      <c r="M428" s="222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customFormat="false" ht="14.25" hidden="false" customHeight="true" outlineLevel="0" collapsed="false">
      <c r="A429" s="217"/>
      <c r="B429" s="217"/>
      <c r="C429" s="217"/>
      <c r="D429" s="218"/>
      <c r="E429" s="219"/>
      <c r="F429" s="220"/>
      <c r="G429" s="221"/>
      <c r="H429" s="221"/>
      <c r="I429" s="222"/>
      <c r="J429" s="222"/>
      <c r="K429" s="222"/>
      <c r="L429" s="222"/>
      <c r="M429" s="222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customFormat="false" ht="14.25" hidden="false" customHeight="true" outlineLevel="0" collapsed="false">
      <c r="A430" s="217"/>
      <c r="B430" s="217"/>
      <c r="C430" s="217"/>
      <c r="D430" s="218"/>
      <c r="E430" s="219"/>
      <c r="F430" s="220"/>
      <c r="G430" s="221"/>
      <c r="H430" s="221"/>
      <c r="I430" s="222"/>
      <c r="J430" s="222"/>
      <c r="K430" s="222"/>
      <c r="L430" s="222"/>
      <c r="M430" s="222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customFormat="false" ht="14.25" hidden="false" customHeight="true" outlineLevel="0" collapsed="false">
      <c r="A431" s="217"/>
      <c r="B431" s="217"/>
      <c r="C431" s="217"/>
      <c r="D431" s="218"/>
      <c r="E431" s="219"/>
      <c r="F431" s="220"/>
      <c r="G431" s="221"/>
      <c r="H431" s="221"/>
      <c r="I431" s="222"/>
      <c r="J431" s="222"/>
      <c r="K431" s="222"/>
      <c r="L431" s="222"/>
      <c r="M431" s="222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customFormat="false" ht="14.25" hidden="false" customHeight="true" outlineLevel="0" collapsed="false">
      <c r="A432" s="217"/>
      <c r="B432" s="217"/>
      <c r="C432" s="217"/>
      <c r="D432" s="218"/>
      <c r="E432" s="219"/>
      <c r="F432" s="220"/>
      <c r="G432" s="221"/>
      <c r="H432" s="221"/>
      <c r="I432" s="222"/>
      <c r="J432" s="222"/>
      <c r="K432" s="222"/>
      <c r="L432" s="222"/>
      <c r="M432" s="222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customFormat="false" ht="14.25" hidden="false" customHeight="true" outlineLevel="0" collapsed="false">
      <c r="A433" s="217"/>
      <c r="B433" s="217"/>
      <c r="C433" s="217"/>
      <c r="D433" s="218"/>
      <c r="E433" s="219"/>
      <c r="F433" s="220"/>
      <c r="G433" s="221"/>
      <c r="H433" s="221"/>
      <c r="I433" s="222"/>
      <c r="J433" s="222"/>
      <c r="K433" s="222"/>
      <c r="L433" s="222"/>
      <c r="M433" s="222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customFormat="false" ht="14.25" hidden="false" customHeight="true" outlineLevel="0" collapsed="false">
      <c r="A434" s="217"/>
      <c r="B434" s="217"/>
      <c r="C434" s="217"/>
      <c r="D434" s="218"/>
      <c r="E434" s="219"/>
      <c r="F434" s="220"/>
      <c r="G434" s="221"/>
      <c r="H434" s="221"/>
      <c r="I434" s="222"/>
      <c r="J434" s="222"/>
      <c r="K434" s="222"/>
      <c r="L434" s="222"/>
      <c r="M434" s="222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customFormat="false" ht="14.25" hidden="false" customHeight="true" outlineLevel="0" collapsed="false">
      <c r="A435" s="217"/>
      <c r="B435" s="217"/>
      <c r="C435" s="217"/>
      <c r="D435" s="218"/>
      <c r="E435" s="219"/>
      <c r="F435" s="220"/>
      <c r="G435" s="221"/>
      <c r="H435" s="221"/>
      <c r="I435" s="222"/>
      <c r="J435" s="222"/>
      <c r="K435" s="222"/>
      <c r="L435" s="222"/>
      <c r="M435" s="222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customFormat="false" ht="14.25" hidden="false" customHeight="true" outlineLevel="0" collapsed="false">
      <c r="A436" s="217"/>
      <c r="B436" s="217"/>
      <c r="C436" s="217"/>
      <c r="D436" s="218"/>
      <c r="E436" s="219"/>
      <c r="F436" s="220"/>
      <c r="G436" s="221"/>
      <c r="H436" s="221"/>
      <c r="I436" s="222"/>
      <c r="J436" s="222"/>
      <c r="K436" s="222"/>
      <c r="L436" s="222"/>
      <c r="M436" s="222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customFormat="false" ht="14.25" hidden="false" customHeight="true" outlineLevel="0" collapsed="false">
      <c r="A437" s="217"/>
      <c r="B437" s="217"/>
      <c r="C437" s="217"/>
      <c r="D437" s="218"/>
      <c r="E437" s="219"/>
      <c r="F437" s="220"/>
      <c r="G437" s="221"/>
      <c r="H437" s="221"/>
      <c r="I437" s="222"/>
      <c r="J437" s="222"/>
      <c r="K437" s="222"/>
      <c r="L437" s="222"/>
      <c r="M437" s="222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customFormat="false" ht="14.25" hidden="false" customHeight="true" outlineLevel="0" collapsed="false">
      <c r="A438" s="217"/>
      <c r="B438" s="217"/>
      <c r="C438" s="217"/>
      <c r="D438" s="218"/>
      <c r="E438" s="219"/>
      <c r="F438" s="220"/>
      <c r="G438" s="221"/>
      <c r="H438" s="221"/>
      <c r="I438" s="222"/>
      <c r="J438" s="222"/>
      <c r="K438" s="222"/>
      <c r="L438" s="222"/>
      <c r="M438" s="222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customFormat="false" ht="14.25" hidden="false" customHeight="true" outlineLevel="0" collapsed="false">
      <c r="A439" s="217"/>
      <c r="B439" s="217"/>
      <c r="C439" s="217"/>
      <c r="D439" s="218"/>
      <c r="E439" s="219"/>
      <c r="F439" s="220"/>
      <c r="G439" s="221"/>
      <c r="H439" s="221"/>
      <c r="I439" s="222"/>
      <c r="J439" s="222"/>
      <c r="K439" s="222"/>
      <c r="L439" s="222"/>
      <c r="M439" s="222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customFormat="false" ht="14.25" hidden="false" customHeight="true" outlineLevel="0" collapsed="false">
      <c r="A440" s="217"/>
      <c r="B440" s="217"/>
      <c r="C440" s="217"/>
      <c r="D440" s="218"/>
      <c r="E440" s="219"/>
      <c r="F440" s="220"/>
      <c r="G440" s="221"/>
      <c r="H440" s="221"/>
      <c r="I440" s="222"/>
      <c r="J440" s="222"/>
      <c r="K440" s="222"/>
      <c r="L440" s="222"/>
      <c r="M440" s="222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customFormat="false" ht="14.25" hidden="false" customHeight="true" outlineLevel="0" collapsed="false">
      <c r="A441" s="217"/>
      <c r="B441" s="217"/>
      <c r="C441" s="217"/>
      <c r="D441" s="218"/>
      <c r="E441" s="219"/>
      <c r="F441" s="220"/>
      <c r="G441" s="221"/>
      <c r="H441" s="221"/>
      <c r="I441" s="222"/>
      <c r="J441" s="222"/>
      <c r="K441" s="222"/>
      <c r="L441" s="222"/>
      <c r="M441" s="222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customFormat="false" ht="14.25" hidden="false" customHeight="true" outlineLevel="0" collapsed="false">
      <c r="A442" s="217"/>
      <c r="B442" s="217"/>
      <c r="C442" s="217"/>
      <c r="D442" s="218"/>
      <c r="E442" s="219"/>
      <c r="F442" s="220"/>
      <c r="G442" s="221"/>
      <c r="H442" s="221"/>
      <c r="I442" s="222"/>
      <c r="J442" s="222"/>
      <c r="K442" s="222"/>
      <c r="L442" s="222"/>
      <c r="M442" s="222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customFormat="false" ht="14.25" hidden="false" customHeight="true" outlineLevel="0" collapsed="false">
      <c r="A443" s="217"/>
      <c r="B443" s="217"/>
      <c r="C443" s="217"/>
      <c r="D443" s="218"/>
      <c r="E443" s="219"/>
      <c r="F443" s="220"/>
      <c r="G443" s="221"/>
      <c r="H443" s="221"/>
      <c r="I443" s="222"/>
      <c r="J443" s="222"/>
      <c r="K443" s="222"/>
      <c r="L443" s="222"/>
      <c r="M443" s="222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customFormat="false" ht="14.25" hidden="false" customHeight="true" outlineLevel="0" collapsed="false">
      <c r="A444" s="217"/>
      <c r="B444" s="217"/>
      <c r="C444" s="217"/>
      <c r="D444" s="218"/>
      <c r="E444" s="219"/>
      <c r="F444" s="220"/>
      <c r="G444" s="221"/>
      <c r="H444" s="221"/>
      <c r="I444" s="222"/>
      <c r="J444" s="222"/>
      <c r="K444" s="222"/>
      <c r="L444" s="222"/>
      <c r="M444" s="222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customFormat="false" ht="14.25" hidden="false" customHeight="true" outlineLevel="0" collapsed="false">
      <c r="A445" s="217"/>
      <c r="B445" s="217"/>
      <c r="C445" s="217"/>
      <c r="D445" s="218"/>
      <c r="E445" s="219"/>
      <c r="F445" s="220"/>
      <c r="G445" s="221"/>
      <c r="H445" s="221"/>
      <c r="I445" s="222"/>
      <c r="J445" s="222"/>
      <c r="K445" s="222"/>
      <c r="L445" s="222"/>
      <c r="M445" s="222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customFormat="false" ht="14.25" hidden="false" customHeight="true" outlineLevel="0" collapsed="false">
      <c r="A446" s="217"/>
      <c r="B446" s="217"/>
      <c r="C446" s="217"/>
      <c r="D446" s="218"/>
      <c r="E446" s="219"/>
      <c r="F446" s="220"/>
      <c r="G446" s="221"/>
      <c r="H446" s="221"/>
      <c r="I446" s="222"/>
      <c r="J446" s="222"/>
      <c r="K446" s="222"/>
      <c r="L446" s="222"/>
      <c r="M446" s="222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customFormat="false" ht="14.25" hidden="false" customHeight="true" outlineLevel="0" collapsed="false">
      <c r="A447" s="217"/>
      <c r="B447" s="217"/>
      <c r="C447" s="217"/>
      <c r="D447" s="218"/>
      <c r="E447" s="219"/>
      <c r="F447" s="220"/>
      <c r="G447" s="221"/>
      <c r="H447" s="221"/>
      <c r="I447" s="222"/>
      <c r="J447" s="222"/>
      <c r="K447" s="222"/>
      <c r="L447" s="222"/>
      <c r="M447" s="222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customFormat="false" ht="14.25" hidden="false" customHeight="true" outlineLevel="0" collapsed="false">
      <c r="A448" s="217"/>
      <c r="B448" s="217"/>
      <c r="C448" s="217"/>
      <c r="D448" s="218"/>
      <c r="E448" s="219"/>
      <c r="F448" s="220"/>
      <c r="G448" s="221"/>
      <c r="H448" s="221"/>
      <c r="I448" s="222"/>
      <c r="J448" s="222"/>
      <c r="K448" s="222"/>
      <c r="L448" s="222"/>
      <c r="M448" s="222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customFormat="false" ht="14.25" hidden="false" customHeight="true" outlineLevel="0" collapsed="false">
      <c r="A449" s="217"/>
      <c r="B449" s="217"/>
      <c r="C449" s="217"/>
      <c r="D449" s="218"/>
      <c r="E449" s="219"/>
      <c r="F449" s="220"/>
      <c r="G449" s="221"/>
      <c r="H449" s="221"/>
      <c r="I449" s="222"/>
      <c r="J449" s="222"/>
      <c r="K449" s="222"/>
      <c r="L449" s="222"/>
      <c r="M449" s="222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customFormat="false" ht="14.25" hidden="false" customHeight="true" outlineLevel="0" collapsed="false">
      <c r="A450" s="217"/>
      <c r="B450" s="217"/>
      <c r="C450" s="217"/>
      <c r="D450" s="218"/>
      <c r="E450" s="219"/>
      <c r="F450" s="220"/>
      <c r="G450" s="221"/>
      <c r="H450" s="221"/>
      <c r="I450" s="222"/>
      <c r="J450" s="222"/>
      <c r="K450" s="222"/>
      <c r="L450" s="222"/>
      <c r="M450" s="222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customFormat="false" ht="14.25" hidden="false" customHeight="true" outlineLevel="0" collapsed="false">
      <c r="A451" s="217"/>
      <c r="B451" s="217"/>
      <c r="C451" s="217"/>
      <c r="D451" s="218"/>
      <c r="E451" s="219"/>
      <c r="F451" s="220"/>
      <c r="G451" s="221"/>
      <c r="H451" s="221"/>
      <c r="I451" s="222"/>
      <c r="J451" s="222"/>
      <c r="K451" s="222"/>
      <c r="L451" s="222"/>
      <c r="M451" s="222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customFormat="false" ht="14.25" hidden="false" customHeight="true" outlineLevel="0" collapsed="false">
      <c r="A452" s="217"/>
      <c r="B452" s="217"/>
      <c r="C452" s="217"/>
      <c r="D452" s="218"/>
      <c r="E452" s="219"/>
      <c r="F452" s="220"/>
      <c r="G452" s="221"/>
      <c r="H452" s="221"/>
      <c r="I452" s="222"/>
      <c r="J452" s="222"/>
      <c r="K452" s="222"/>
      <c r="L452" s="222"/>
      <c r="M452" s="222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customFormat="false" ht="14.25" hidden="false" customHeight="true" outlineLevel="0" collapsed="false">
      <c r="A453" s="217"/>
      <c r="B453" s="217"/>
      <c r="C453" s="217"/>
      <c r="D453" s="218"/>
      <c r="E453" s="219"/>
      <c r="F453" s="220"/>
      <c r="G453" s="221"/>
      <c r="H453" s="221"/>
      <c r="I453" s="222"/>
      <c r="J453" s="222"/>
      <c r="K453" s="222"/>
      <c r="L453" s="222"/>
      <c r="M453" s="222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customFormat="false" ht="14.25" hidden="false" customHeight="true" outlineLevel="0" collapsed="false">
      <c r="A454" s="217"/>
      <c r="B454" s="217"/>
      <c r="C454" s="217"/>
      <c r="D454" s="218"/>
      <c r="E454" s="219"/>
      <c r="F454" s="220"/>
      <c r="G454" s="221"/>
      <c r="H454" s="221"/>
      <c r="I454" s="222"/>
      <c r="J454" s="222"/>
      <c r="K454" s="222"/>
      <c r="L454" s="222"/>
      <c r="M454" s="222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customFormat="false" ht="14.25" hidden="false" customHeight="true" outlineLevel="0" collapsed="false">
      <c r="A455" s="217"/>
      <c r="B455" s="217"/>
      <c r="C455" s="217"/>
      <c r="D455" s="218"/>
      <c r="E455" s="219"/>
      <c r="F455" s="220"/>
      <c r="G455" s="221"/>
      <c r="H455" s="221"/>
      <c r="I455" s="222"/>
      <c r="J455" s="222"/>
      <c r="K455" s="222"/>
      <c r="L455" s="222"/>
      <c r="M455" s="222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customFormat="false" ht="14.25" hidden="false" customHeight="true" outlineLevel="0" collapsed="false">
      <c r="A456" s="217"/>
      <c r="B456" s="217"/>
      <c r="C456" s="217"/>
      <c r="D456" s="218"/>
      <c r="E456" s="219"/>
      <c r="F456" s="220"/>
      <c r="G456" s="221"/>
      <c r="H456" s="221"/>
      <c r="I456" s="222"/>
      <c r="J456" s="222"/>
      <c r="K456" s="222"/>
      <c r="L456" s="222"/>
      <c r="M456" s="222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customFormat="false" ht="14.25" hidden="false" customHeight="true" outlineLevel="0" collapsed="false">
      <c r="A457" s="217"/>
      <c r="B457" s="217"/>
      <c r="C457" s="217"/>
      <c r="D457" s="218"/>
      <c r="E457" s="219"/>
      <c r="F457" s="220"/>
      <c r="G457" s="221"/>
      <c r="H457" s="221"/>
      <c r="I457" s="222"/>
      <c r="J457" s="222"/>
      <c r="K457" s="222"/>
      <c r="L457" s="222"/>
      <c r="M457" s="222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customFormat="false" ht="14.25" hidden="false" customHeight="true" outlineLevel="0" collapsed="false">
      <c r="A458" s="217"/>
      <c r="B458" s="217"/>
      <c r="C458" s="217"/>
      <c r="D458" s="218"/>
      <c r="E458" s="219"/>
      <c r="F458" s="220"/>
      <c r="G458" s="221"/>
      <c r="H458" s="221"/>
      <c r="I458" s="222"/>
      <c r="J458" s="222"/>
      <c r="K458" s="222"/>
      <c r="L458" s="222"/>
      <c r="M458" s="222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customFormat="false" ht="14.25" hidden="false" customHeight="true" outlineLevel="0" collapsed="false">
      <c r="A459" s="217"/>
      <c r="B459" s="217"/>
      <c r="C459" s="217"/>
      <c r="D459" s="218"/>
      <c r="E459" s="219"/>
      <c r="F459" s="220"/>
      <c r="G459" s="221"/>
      <c r="H459" s="221"/>
      <c r="I459" s="222"/>
      <c r="J459" s="222"/>
      <c r="K459" s="222"/>
      <c r="L459" s="222"/>
      <c r="M459" s="222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customFormat="false" ht="14.25" hidden="false" customHeight="true" outlineLevel="0" collapsed="false">
      <c r="A460" s="217"/>
      <c r="B460" s="217"/>
      <c r="C460" s="217"/>
      <c r="D460" s="218"/>
      <c r="E460" s="219"/>
      <c r="F460" s="220"/>
      <c r="G460" s="221"/>
      <c r="H460" s="221"/>
      <c r="I460" s="222"/>
      <c r="J460" s="222"/>
      <c r="K460" s="222"/>
      <c r="L460" s="222"/>
      <c r="M460" s="222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customFormat="false" ht="14.25" hidden="false" customHeight="true" outlineLevel="0" collapsed="false">
      <c r="A461" s="217"/>
      <c r="B461" s="217"/>
      <c r="C461" s="217"/>
      <c r="D461" s="218"/>
      <c r="E461" s="219"/>
      <c r="F461" s="220"/>
      <c r="G461" s="221"/>
      <c r="H461" s="221"/>
      <c r="I461" s="222"/>
      <c r="J461" s="222"/>
      <c r="K461" s="222"/>
      <c r="L461" s="222"/>
      <c r="M461" s="222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customFormat="false" ht="14.25" hidden="false" customHeight="true" outlineLevel="0" collapsed="false">
      <c r="A462" s="217"/>
      <c r="B462" s="217"/>
      <c r="C462" s="217"/>
      <c r="D462" s="218"/>
      <c r="E462" s="219"/>
      <c r="F462" s="220"/>
      <c r="G462" s="221"/>
      <c r="H462" s="221"/>
      <c r="I462" s="222"/>
      <c r="J462" s="222"/>
      <c r="K462" s="222"/>
      <c r="L462" s="222"/>
      <c r="M462" s="222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customFormat="false" ht="14.25" hidden="false" customHeight="true" outlineLevel="0" collapsed="false">
      <c r="A463" s="217"/>
      <c r="B463" s="217"/>
      <c r="C463" s="217"/>
      <c r="D463" s="218"/>
      <c r="E463" s="219"/>
      <c r="F463" s="220"/>
      <c r="G463" s="221"/>
      <c r="H463" s="221"/>
      <c r="I463" s="222"/>
      <c r="J463" s="222"/>
      <c r="K463" s="222"/>
      <c r="L463" s="222"/>
      <c r="M463" s="222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customFormat="false" ht="14.25" hidden="false" customHeight="true" outlineLevel="0" collapsed="false">
      <c r="A464" s="217"/>
      <c r="B464" s="217"/>
      <c r="C464" s="217"/>
      <c r="D464" s="218"/>
      <c r="E464" s="219"/>
      <c r="F464" s="220"/>
      <c r="G464" s="221"/>
      <c r="H464" s="221"/>
      <c r="I464" s="222"/>
      <c r="J464" s="222"/>
      <c r="K464" s="222"/>
      <c r="L464" s="222"/>
      <c r="M464" s="222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customFormat="false" ht="14.25" hidden="false" customHeight="true" outlineLevel="0" collapsed="false">
      <c r="A465" s="217"/>
      <c r="B465" s="217"/>
      <c r="C465" s="217"/>
      <c r="D465" s="218"/>
      <c r="E465" s="219"/>
      <c r="F465" s="220"/>
      <c r="G465" s="221"/>
      <c r="H465" s="221"/>
      <c r="I465" s="222"/>
      <c r="J465" s="222"/>
      <c r="K465" s="222"/>
      <c r="L465" s="222"/>
      <c r="M465" s="222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customFormat="false" ht="14.25" hidden="false" customHeight="true" outlineLevel="0" collapsed="false">
      <c r="A466" s="217"/>
      <c r="B466" s="217"/>
      <c r="C466" s="217"/>
      <c r="D466" s="218"/>
      <c r="E466" s="219"/>
      <c r="F466" s="220"/>
      <c r="G466" s="221"/>
      <c r="H466" s="221"/>
      <c r="I466" s="222"/>
      <c r="J466" s="222"/>
      <c r="K466" s="222"/>
      <c r="L466" s="222"/>
      <c r="M466" s="222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customFormat="false" ht="14.25" hidden="false" customHeight="true" outlineLevel="0" collapsed="false">
      <c r="A467" s="217"/>
      <c r="B467" s="217"/>
      <c r="C467" s="217"/>
      <c r="D467" s="218"/>
      <c r="E467" s="219"/>
      <c r="F467" s="220"/>
      <c r="G467" s="221"/>
      <c r="H467" s="221"/>
      <c r="I467" s="222"/>
      <c r="J467" s="222"/>
      <c r="K467" s="222"/>
      <c r="L467" s="222"/>
      <c r="M467" s="222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customFormat="false" ht="14.25" hidden="false" customHeight="true" outlineLevel="0" collapsed="false">
      <c r="A468" s="217"/>
      <c r="B468" s="217"/>
      <c r="C468" s="217"/>
      <c r="D468" s="218"/>
      <c r="E468" s="219"/>
      <c r="F468" s="220"/>
      <c r="G468" s="221"/>
      <c r="H468" s="221"/>
      <c r="I468" s="222"/>
      <c r="J468" s="222"/>
      <c r="K468" s="222"/>
      <c r="L468" s="222"/>
      <c r="M468" s="222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customFormat="false" ht="14.25" hidden="false" customHeight="true" outlineLevel="0" collapsed="false">
      <c r="A469" s="217"/>
      <c r="B469" s="217"/>
      <c r="C469" s="217"/>
      <c r="D469" s="218"/>
      <c r="E469" s="219"/>
      <c r="F469" s="220"/>
      <c r="G469" s="221"/>
      <c r="H469" s="221"/>
      <c r="I469" s="222"/>
      <c r="J469" s="222"/>
      <c r="K469" s="222"/>
      <c r="L469" s="222"/>
      <c r="M469" s="222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customFormat="false" ht="14.25" hidden="false" customHeight="true" outlineLevel="0" collapsed="false">
      <c r="A470" s="217"/>
      <c r="B470" s="217"/>
      <c r="C470" s="217"/>
      <c r="D470" s="218"/>
      <c r="E470" s="219"/>
      <c r="F470" s="220"/>
      <c r="G470" s="221"/>
      <c r="H470" s="221"/>
      <c r="I470" s="222"/>
      <c r="J470" s="222"/>
      <c r="K470" s="222"/>
      <c r="L470" s="222"/>
      <c r="M470" s="222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customFormat="false" ht="14.25" hidden="false" customHeight="true" outlineLevel="0" collapsed="false">
      <c r="A471" s="217"/>
      <c r="B471" s="217"/>
      <c r="C471" s="217"/>
      <c r="D471" s="218"/>
      <c r="E471" s="219"/>
      <c r="F471" s="220"/>
      <c r="G471" s="221"/>
      <c r="H471" s="221"/>
      <c r="I471" s="222"/>
      <c r="J471" s="222"/>
      <c r="K471" s="222"/>
      <c r="L471" s="222"/>
      <c r="M471" s="222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customFormat="false" ht="14.25" hidden="false" customHeight="true" outlineLevel="0" collapsed="false">
      <c r="A472" s="217"/>
      <c r="B472" s="217"/>
      <c r="C472" s="217"/>
      <c r="D472" s="218"/>
      <c r="E472" s="219"/>
      <c r="F472" s="220"/>
      <c r="G472" s="221"/>
      <c r="H472" s="221"/>
      <c r="I472" s="222"/>
      <c r="J472" s="222"/>
      <c r="K472" s="222"/>
      <c r="L472" s="222"/>
      <c r="M472" s="222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customFormat="false" ht="14.25" hidden="false" customHeight="true" outlineLevel="0" collapsed="false">
      <c r="A473" s="217"/>
      <c r="B473" s="217"/>
      <c r="C473" s="217"/>
      <c r="D473" s="218"/>
      <c r="E473" s="219"/>
      <c r="F473" s="220"/>
      <c r="G473" s="221"/>
      <c r="H473" s="221"/>
      <c r="I473" s="222"/>
      <c r="J473" s="222"/>
      <c r="K473" s="222"/>
      <c r="L473" s="222"/>
      <c r="M473" s="222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customFormat="false" ht="14.25" hidden="false" customHeight="true" outlineLevel="0" collapsed="false">
      <c r="A474" s="217"/>
      <c r="B474" s="217"/>
      <c r="C474" s="217"/>
      <c r="D474" s="218"/>
      <c r="E474" s="219"/>
      <c r="F474" s="220"/>
      <c r="G474" s="221"/>
      <c r="H474" s="221"/>
      <c r="I474" s="222"/>
      <c r="J474" s="222"/>
      <c r="K474" s="222"/>
      <c r="L474" s="222"/>
      <c r="M474" s="222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customFormat="false" ht="14.25" hidden="false" customHeight="true" outlineLevel="0" collapsed="false">
      <c r="A475" s="217"/>
      <c r="B475" s="217"/>
      <c r="C475" s="217"/>
      <c r="D475" s="218"/>
      <c r="E475" s="219"/>
      <c r="F475" s="220"/>
      <c r="G475" s="221"/>
      <c r="H475" s="221"/>
      <c r="I475" s="222"/>
      <c r="J475" s="222"/>
      <c r="K475" s="222"/>
      <c r="L475" s="222"/>
      <c r="M475" s="222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customFormat="false" ht="14.25" hidden="false" customHeight="true" outlineLevel="0" collapsed="false">
      <c r="A476" s="217"/>
      <c r="B476" s="217"/>
      <c r="C476" s="217"/>
      <c r="D476" s="218"/>
      <c r="E476" s="219"/>
      <c r="F476" s="220"/>
      <c r="G476" s="221"/>
      <c r="H476" s="221"/>
      <c r="I476" s="222"/>
      <c r="J476" s="222"/>
      <c r="K476" s="222"/>
      <c r="L476" s="222"/>
      <c r="M476" s="222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customFormat="false" ht="14.25" hidden="false" customHeight="true" outlineLevel="0" collapsed="false">
      <c r="A477" s="217"/>
      <c r="B477" s="217"/>
      <c r="C477" s="217"/>
      <c r="D477" s="218"/>
      <c r="E477" s="219"/>
      <c r="F477" s="220"/>
      <c r="G477" s="221"/>
      <c r="H477" s="221"/>
      <c r="I477" s="222"/>
      <c r="J477" s="222"/>
      <c r="K477" s="222"/>
      <c r="L477" s="222"/>
      <c r="M477" s="222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customFormat="false" ht="14.25" hidden="false" customHeight="true" outlineLevel="0" collapsed="false">
      <c r="A478" s="217"/>
      <c r="B478" s="217"/>
      <c r="C478" s="217"/>
      <c r="D478" s="218"/>
      <c r="E478" s="219"/>
      <c r="F478" s="220"/>
      <c r="G478" s="221"/>
      <c r="H478" s="221"/>
      <c r="I478" s="222"/>
      <c r="J478" s="222"/>
      <c r="K478" s="222"/>
      <c r="L478" s="222"/>
      <c r="M478" s="222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customFormat="false" ht="14.25" hidden="false" customHeight="true" outlineLevel="0" collapsed="false">
      <c r="A479" s="217"/>
      <c r="B479" s="217"/>
      <c r="C479" s="217"/>
      <c r="D479" s="218"/>
      <c r="E479" s="219"/>
      <c r="F479" s="220"/>
      <c r="G479" s="221"/>
      <c r="H479" s="221"/>
      <c r="I479" s="222"/>
      <c r="J479" s="222"/>
      <c r="K479" s="222"/>
      <c r="L479" s="222"/>
      <c r="M479" s="222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customFormat="false" ht="14.25" hidden="false" customHeight="true" outlineLevel="0" collapsed="false">
      <c r="A480" s="217"/>
      <c r="B480" s="217"/>
      <c r="C480" s="217"/>
      <c r="D480" s="218"/>
      <c r="E480" s="219"/>
      <c r="F480" s="220"/>
      <c r="G480" s="221"/>
      <c r="H480" s="221"/>
      <c r="I480" s="222"/>
      <c r="J480" s="222"/>
      <c r="K480" s="222"/>
      <c r="L480" s="222"/>
      <c r="M480" s="222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customFormat="false" ht="14.25" hidden="false" customHeight="true" outlineLevel="0" collapsed="false">
      <c r="A481" s="217"/>
      <c r="B481" s="217"/>
      <c r="C481" s="217"/>
      <c r="D481" s="218"/>
      <c r="E481" s="219"/>
      <c r="F481" s="220"/>
      <c r="G481" s="221"/>
      <c r="H481" s="221"/>
      <c r="I481" s="222"/>
      <c r="J481" s="222"/>
      <c r="K481" s="222"/>
      <c r="L481" s="222"/>
      <c r="M481" s="222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customFormat="false" ht="14.25" hidden="false" customHeight="true" outlineLevel="0" collapsed="false">
      <c r="A482" s="217"/>
      <c r="B482" s="217"/>
      <c r="C482" s="217"/>
      <c r="D482" s="218"/>
      <c r="E482" s="219"/>
      <c r="F482" s="220"/>
      <c r="G482" s="221"/>
      <c r="H482" s="221"/>
      <c r="I482" s="222"/>
      <c r="J482" s="222"/>
      <c r="K482" s="222"/>
      <c r="L482" s="222"/>
      <c r="M482" s="222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customFormat="false" ht="14.25" hidden="false" customHeight="true" outlineLevel="0" collapsed="false">
      <c r="A483" s="217"/>
      <c r="B483" s="217"/>
      <c r="C483" s="217"/>
      <c r="D483" s="218"/>
      <c r="E483" s="219"/>
      <c r="F483" s="220"/>
      <c r="G483" s="221"/>
      <c r="H483" s="221"/>
      <c r="I483" s="222"/>
      <c r="J483" s="222"/>
      <c r="K483" s="222"/>
      <c r="L483" s="222"/>
      <c r="M483" s="222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customFormat="false" ht="14.25" hidden="false" customHeight="true" outlineLevel="0" collapsed="false">
      <c r="A484" s="217"/>
      <c r="B484" s="217"/>
      <c r="C484" s="217"/>
      <c r="D484" s="218"/>
      <c r="E484" s="219"/>
      <c r="F484" s="220"/>
      <c r="G484" s="221"/>
      <c r="H484" s="221"/>
      <c r="I484" s="222"/>
      <c r="J484" s="222"/>
      <c r="K484" s="222"/>
      <c r="L484" s="222"/>
      <c r="M484" s="222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customFormat="false" ht="14.25" hidden="false" customHeight="true" outlineLevel="0" collapsed="false">
      <c r="A485" s="217"/>
      <c r="B485" s="217"/>
      <c r="C485" s="217"/>
      <c r="D485" s="218"/>
      <c r="E485" s="219"/>
      <c r="F485" s="220"/>
      <c r="G485" s="221"/>
      <c r="H485" s="221"/>
      <c r="I485" s="222"/>
      <c r="J485" s="222"/>
      <c r="K485" s="222"/>
      <c r="L485" s="222"/>
      <c r="M485" s="222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customFormat="false" ht="14.25" hidden="false" customHeight="true" outlineLevel="0" collapsed="false">
      <c r="A486" s="217"/>
      <c r="B486" s="217"/>
      <c r="C486" s="217"/>
      <c r="D486" s="218"/>
      <c r="E486" s="219"/>
      <c r="F486" s="220"/>
      <c r="G486" s="221"/>
      <c r="H486" s="221"/>
      <c r="I486" s="222"/>
      <c r="J486" s="222"/>
      <c r="K486" s="222"/>
      <c r="L486" s="222"/>
      <c r="M486" s="222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customFormat="false" ht="14.25" hidden="false" customHeight="true" outlineLevel="0" collapsed="false">
      <c r="A487" s="217"/>
      <c r="B487" s="217"/>
      <c r="C487" s="217"/>
      <c r="D487" s="218"/>
      <c r="E487" s="219"/>
      <c r="F487" s="220"/>
      <c r="G487" s="221"/>
      <c r="H487" s="221"/>
      <c r="I487" s="222"/>
      <c r="J487" s="222"/>
      <c r="K487" s="222"/>
      <c r="L487" s="222"/>
      <c r="M487" s="222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customFormat="false" ht="14.25" hidden="false" customHeight="true" outlineLevel="0" collapsed="false">
      <c r="A488" s="217"/>
      <c r="B488" s="217"/>
      <c r="C488" s="217"/>
      <c r="D488" s="218"/>
      <c r="E488" s="219"/>
      <c r="F488" s="220"/>
      <c r="G488" s="221"/>
      <c r="H488" s="221"/>
      <c r="I488" s="222"/>
      <c r="J488" s="222"/>
      <c r="K488" s="222"/>
      <c r="L488" s="222"/>
      <c r="M488" s="222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customFormat="false" ht="14.25" hidden="false" customHeight="true" outlineLevel="0" collapsed="false">
      <c r="A489" s="217"/>
      <c r="B489" s="217"/>
      <c r="C489" s="217"/>
      <c r="D489" s="218"/>
      <c r="E489" s="219"/>
      <c r="F489" s="220"/>
      <c r="G489" s="221"/>
      <c r="H489" s="221"/>
      <c r="I489" s="222"/>
      <c r="J489" s="222"/>
      <c r="K489" s="222"/>
      <c r="L489" s="222"/>
      <c r="M489" s="222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customFormat="false" ht="14.25" hidden="false" customHeight="true" outlineLevel="0" collapsed="false">
      <c r="A490" s="217"/>
      <c r="B490" s="217"/>
      <c r="C490" s="217"/>
      <c r="D490" s="218"/>
      <c r="E490" s="219"/>
      <c r="F490" s="220"/>
      <c r="G490" s="221"/>
      <c r="H490" s="221"/>
      <c r="I490" s="222"/>
      <c r="J490" s="222"/>
      <c r="K490" s="222"/>
      <c r="L490" s="222"/>
      <c r="M490" s="222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customFormat="false" ht="14.25" hidden="false" customHeight="true" outlineLevel="0" collapsed="false">
      <c r="A491" s="217"/>
      <c r="B491" s="217"/>
      <c r="C491" s="217"/>
      <c r="D491" s="218"/>
      <c r="E491" s="219"/>
      <c r="F491" s="220"/>
      <c r="G491" s="221"/>
      <c r="H491" s="221"/>
      <c r="I491" s="222"/>
      <c r="J491" s="222"/>
      <c r="K491" s="222"/>
      <c r="L491" s="222"/>
      <c r="M491" s="222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customFormat="false" ht="14.25" hidden="false" customHeight="true" outlineLevel="0" collapsed="false">
      <c r="A492" s="217"/>
      <c r="B492" s="217"/>
      <c r="C492" s="217"/>
      <c r="D492" s="218"/>
      <c r="E492" s="219"/>
      <c r="F492" s="220"/>
      <c r="G492" s="221"/>
      <c r="H492" s="221"/>
      <c r="I492" s="222"/>
      <c r="J492" s="222"/>
      <c r="K492" s="222"/>
      <c r="L492" s="222"/>
      <c r="M492" s="222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customFormat="false" ht="14.25" hidden="false" customHeight="true" outlineLevel="0" collapsed="false">
      <c r="A493" s="217"/>
      <c r="B493" s="217"/>
      <c r="C493" s="217"/>
      <c r="D493" s="218"/>
      <c r="E493" s="219"/>
      <c r="F493" s="220"/>
      <c r="G493" s="221"/>
      <c r="H493" s="221"/>
      <c r="I493" s="222"/>
      <c r="J493" s="222"/>
      <c r="K493" s="222"/>
      <c r="L493" s="222"/>
      <c r="M493" s="222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customFormat="false" ht="14.25" hidden="false" customHeight="true" outlineLevel="0" collapsed="false">
      <c r="A494" s="217"/>
      <c r="B494" s="217"/>
      <c r="C494" s="217"/>
      <c r="D494" s="218"/>
      <c r="E494" s="219"/>
      <c r="F494" s="220"/>
      <c r="G494" s="221"/>
      <c r="H494" s="221"/>
      <c r="I494" s="222"/>
      <c r="J494" s="222"/>
      <c r="K494" s="222"/>
      <c r="L494" s="222"/>
      <c r="M494" s="222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customFormat="false" ht="14.25" hidden="false" customHeight="true" outlineLevel="0" collapsed="false">
      <c r="A495" s="217"/>
      <c r="B495" s="217"/>
      <c r="C495" s="217"/>
      <c r="D495" s="218"/>
      <c r="E495" s="219"/>
      <c r="F495" s="220"/>
      <c r="G495" s="221"/>
      <c r="H495" s="221"/>
      <c r="I495" s="222"/>
      <c r="J495" s="222"/>
      <c r="K495" s="222"/>
      <c r="L495" s="222"/>
      <c r="M495" s="222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customFormat="false" ht="14.25" hidden="false" customHeight="true" outlineLevel="0" collapsed="false">
      <c r="A496" s="217"/>
      <c r="B496" s="217"/>
      <c r="C496" s="217"/>
      <c r="D496" s="218"/>
      <c r="E496" s="219"/>
      <c r="F496" s="220"/>
      <c r="G496" s="221"/>
      <c r="H496" s="221"/>
      <c r="I496" s="222"/>
      <c r="J496" s="222"/>
      <c r="K496" s="222"/>
      <c r="L496" s="222"/>
      <c r="M496" s="222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customFormat="false" ht="14.25" hidden="false" customHeight="true" outlineLevel="0" collapsed="false">
      <c r="A497" s="217"/>
      <c r="B497" s="217"/>
      <c r="C497" s="217"/>
      <c r="D497" s="218"/>
      <c r="E497" s="219"/>
      <c r="F497" s="220"/>
      <c r="G497" s="221"/>
      <c r="H497" s="221"/>
      <c r="I497" s="222"/>
      <c r="J497" s="222"/>
      <c r="K497" s="222"/>
      <c r="L497" s="222"/>
      <c r="M497" s="222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customFormat="false" ht="14.25" hidden="false" customHeight="true" outlineLevel="0" collapsed="false">
      <c r="A498" s="217"/>
      <c r="B498" s="217"/>
      <c r="C498" s="217"/>
      <c r="D498" s="218"/>
      <c r="E498" s="219"/>
      <c r="F498" s="220"/>
      <c r="G498" s="221"/>
      <c r="H498" s="221"/>
      <c r="I498" s="222"/>
      <c r="J498" s="222"/>
      <c r="K498" s="222"/>
      <c r="L498" s="222"/>
      <c r="M498" s="222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customFormat="false" ht="14.25" hidden="false" customHeight="true" outlineLevel="0" collapsed="false">
      <c r="A499" s="217"/>
      <c r="B499" s="217"/>
      <c r="C499" s="217"/>
      <c r="D499" s="218"/>
      <c r="E499" s="219"/>
      <c r="F499" s="220"/>
      <c r="G499" s="221"/>
      <c r="H499" s="221"/>
      <c r="I499" s="222"/>
      <c r="J499" s="222"/>
      <c r="K499" s="222"/>
      <c r="L499" s="222"/>
      <c r="M499" s="222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customFormat="false" ht="14.25" hidden="false" customHeight="true" outlineLevel="0" collapsed="false">
      <c r="A500" s="217"/>
      <c r="B500" s="217"/>
      <c r="C500" s="217"/>
      <c r="D500" s="218"/>
      <c r="E500" s="219"/>
      <c r="F500" s="220"/>
      <c r="G500" s="221"/>
      <c r="H500" s="221"/>
      <c r="I500" s="222"/>
      <c r="J500" s="222"/>
      <c r="K500" s="222"/>
      <c r="L500" s="222"/>
      <c r="M500" s="222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customFormat="false" ht="14.25" hidden="false" customHeight="true" outlineLevel="0" collapsed="false">
      <c r="A501" s="217"/>
      <c r="B501" s="217"/>
      <c r="C501" s="217"/>
      <c r="D501" s="218"/>
      <c r="E501" s="219"/>
      <c r="F501" s="220"/>
      <c r="G501" s="221"/>
      <c r="H501" s="221"/>
      <c r="I501" s="222"/>
      <c r="J501" s="222"/>
      <c r="K501" s="222"/>
      <c r="L501" s="222"/>
      <c r="M501" s="222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customFormat="false" ht="14.25" hidden="false" customHeight="true" outlineLevel="0" collapsed="false">
      <c r="A502" s="217"/>
      <c r="B502" s="217"/>
      <c r="C502" s="217"/>
      <c r="D502" s="218"/>
      <c r="E502" s="219"/>
      <c r="F502" s="220"/>
      <c r="G502" s="221"/>
      <c r="H502" s="221"/>
      <c r="I502" s="222"/>
      <c r="J502" s="222"/>
      <c r="K502" s="222"/>
      <c r="L502" s="222"/>
      <c r="M502" s="222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customFormat="false" ht="14.25" hidden="false" customHeight="true" outlineLevel="0" collapsed="false">
      <c r="A503" s="217"/>
      <c r="B503" s="217"/>
      <c r="C503" s="217"/>
      <c r="D503" s="218"/>
      <c r="E503" s="219"/>
      <c r="F503" s="220"/>
      <c r="G503" s="221"/>
      <c r="H503" s="221"/>
      <c r="I503" s="222"/>
      <c r="J503" s="222"/>
      <c r="K503" s="222"/>
      <c r="L503" s="222"/>
      <c r="M503" s="222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customFormat="false" ht="14.25" hidden="false" customHeight="true" outlineLevel="0" collapsed="false">
      <c r="A504" s="217"/>
      <c r="B504" s="217"/>
      <c r="C504" s="217"/>
      <c r="D504" s="218"/>
      <c r="E504" s="219"/>
      <c r="F504" s="220"/>
      <c r="G504" s="221"/>
      <c r="H504" s="221"/>
      <c r="I504" s="222"/>
      <c r="J504" s="222"/>
      <c r="K504" s="222"/>
      <c r="L504" s="222"/>
      <c r="M504" s="222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customFormat="false" ht="14.25" hidden="false" customHeight="true" outlineLevel="0" collapsed="false">
      <c r="A505" s="217"/>
      <c r="B505" s="217"/>
      <c r="C505" s="217"/>
      <c r="D505" s="218"/>
      <c r="E505" s="219"/>
      <c r="F505" s="220"/>
      <c r="G505" s="221"/>
      <c r="H505" s="221"/>
      <c r="I505" s="222"/>
      <c r="J505" s="222"/>
      <c r="K505" s="222"/>
      <c r="L505" s="222"/>
      <c r="M505" s="222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customFormat="false" ht="14.25" hidden="false" customHeight="true" outlineLevel="0" collapsed="false">
      <c r="A506" s="217"/>
      <c r="B506" s="217"/>
      <c r="C506" s="217"/>
      <c r="D506" s="218"/>
      <c r="E506" s="219"/>
      <c r="F506" s="220"/>
      <c r="G506" s="221"/>
      <c r="H506" s="221"/>
      <c r="I506" s="222"/>
      <c r="J506" s="222"/>
      <c r="K506" s="222"/>
      <c r="L506" s="222"/>
      <c r="M506" s="222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customFormat="false" ht="14.25" hidden="false" customHeight="true" outlineLevel="0" collapsed="false">
      <c r="A507" s="217"/>
      <c r="B507" s="217"/>
      <c r="C507" s="217"/>
      <c r="D507" s="218"/>
      <c r="E507" s="219"/>
      <c r="F507" s="220"/>
      <c r="G507" s="221"/>
      <c r="H507" s="221"/>
      <c r="I507" s="222"/>
      <c r="J507" s="222"/>
      <c r="K507" s="222"/>
      <c r="L507" s="222"/>
      <c r="M507" s="222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customFormat="false" ht="14.25" hidden="false" customHeight="true" outlineLevel="0" collapsed="false">
      <c r="A508" s="217"/>
      <c r="B508" s="217"/>
      <c r="C508" s="217"/>
      <c r="D508" s="218"/>
      <c r="E508" s="219"/>
      <c r="F508" s="220"/>
      <c r="G508" s="221"/>
      <c r="H508" s="221"/>
      <c r="I508" s="222"/>
      <c r="J508" s="222"/>
      <c r="K508" s="222"/>
      <c r="L508" s="222"/>
      <c r="M508" s="222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customFormat="false" ht="14.25" hidden="false" customHeight="true" outlineLevel="0" collapsed="false">
      <c r="A509" s="217"/>
      <c r="B509" s="217"/>
      <c r="C509" s="217"/>
      <c r="D509" s="218"/>
      <c r="E509" s="219"/>
      <c r="F509" s="220"/>
      <c r="G509" s="221"/>
      <c r="H509" s="221"/>
      <c r="I509" s="222"/>
      <c r="J509" s="222"/>
      <c r="K509" s="222"/>
      <c r="L509" s="222"/>
      <c r="M509" s="222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customFormat="false" ht="14.25" hidden="false" customHeight="true" outlineLevel="0" collapsed="false">
      <c r="A510" s="217"/>
      <c r="B510" s="217"/>
      <c r="C510" s="217"/>
      <c r="D510" s="218"/>
      <c r="E510" s="219"/>
      <c r="F510" s="220"/>
      <c r="G510" s="221"/>
      <c r="H510" s="221"/>
      <c r="I510" s="222"/>
      <c r="J510" s="222"/>
      <c r="K510" s="222"/>
      <c r="L510" s="222"/>
      <c r="M510" s="222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customFormat="false" ht="14.25" hidden="false" customHeight="true" outlineLevel="0" collapsed="false">
      <c r="A511" s="217"/>
      <c r="B511" s="217"/>
      <c r="C511" s="217"/>
      <c r="D511" s="218"/>
      <c r="E511" s="219"/>
      <c r="F511" s="220"/>
      <c r="G511" s="221"/>
      <c r="H511" s="221"/>
      <c r="I511" s="222"/>
      <c r="J511" s="222"/>
      <c r="K511" s="222"/>
      <c r="L511" s="222"/>
      <c r="M511" s="222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customFormat="false" ht="14.25" hidden="false" customHeight="true" outlineLevel="0" collapsed="false">
      <c r="A512" s="217"/>
      <c r="B512" s="217"/>
      <c r="C512" s="217"/>
      <c r="D512" s="218"/>
      <c r="E512" s="219"/>
      <c r="F512" s="220"/>
      <c r="G512" s="221"/>
      <c r="H512" s="221"/>
      <c r="I512" s="222"/>
      <c r="J512" s="222"/>
      <c r="K512" s="222"/>
      <c r="L512" s="222"/>
      <c r="M512" s="222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customFormat="false" ht="14.25" hidden="false" customHeight="true" outlineLevel="0" collapsed="false">
      <c r="A513" s="217"/>
      <c r="B513" s="217"/>
      <c r="C513" s="217"/>
      <c r="D513" s="218"/>
      <c r="E513" s="219"/>
      <c r="F513" s="220"/>
      <c r="G513" s="221"/>
      <c r="H513" s="221"/>
      <c r="I513" s="222"/>
      <c r="J513" s="222"/>
      <c r="K513" s="222"/>
      <c r="L513" s="222"/>
      <c r="M513" s="222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customFormat="false" ht="14.25" hidden="false" customHeight="true" outlineLevel="0" collapsed="false">
      <c r="A514" s="217"/>
      <c r="B514" s="217"/>
      <c r="C514" s="217"/>
      <c r="D514" s="218"/>
      <c r="E514" s="219"/>
      <c r="F514" s="220"/>
      <c r="G514" s="221"/>
      <c r="H514" s="221"/>
      <c r="I514" s="222"/>
      <c r="J514" s="222"/>
      <c r="K514" s="222"/>
      <c r="L514" s="222"/>
      <c r="M514" s="222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customFormat="false" ht="14.25" hidden="false" customHeight="true" outlineLevel="0" collapsed="false">
      <c r="A515" s="217"/>
      <c r="B515" s="217"/>
      <c r="C515" s="217"/>
      <c r="D515" s="218"/>
      <c r="E515" s="219"/>
      <c r="F515" s="220"/>
      <c r="G515" s="221"/>
      <c r="H515" s="221"/>
      <c r="I515" s="222"/>
      <c r="J515" s="222"/>
      <c r="K515" s="222"/>
      <c r="L515" s="222"/>
      <c r="M515" s="222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customFormat="false" ht="14.25" hidden="false" customHeight="true" outlineLevel="0" collapsed="false">
      <c r="A516" s="217"/>
      <c r="B516" s="217"/>
      <c r="C516" s="217"/>
      <c r="D516" s="218"/>
      <c r="E516" s="219"/>
      <c r="F516" s="220"/>
      <c r="G516" s="221"/>
      <c r="H516" s="221"/>
      <c r="I516" s="222"/>
      <c r="J516" s="222"/>
      <c r="K516" s="222"/>
      <c r="L516" s="222"/>
      <c r="M516" s="222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customFormat="false" ht="14.25" hidden="false" customHeight="true" outlineLevel="0" collapsed="false">
      <c r="A517" s="217"/>
      <c r="B517" s="217"/>
      <c r="C517" s="217"/>
      <c r="D517" s="218"/>
      <c r="E517" s="219"/>
      <c r="F517" s="220"/>
      <c r="G517" s="221"/>
      <c r="H517" s="221"/>
      <c r="I517" s="222"/>
      <c r="J517" s="222"/>
      <c r="K517" s="222"/>
      <c r="L517" s="222"/>
      <c r="M517" s="222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customFormat="false" ht="14.25" hidden="false" customHeight="true" outlineLevel="0" collapsed="false">
      <c r="A518" s="217"/>
      <c r="B518" s="217"/>
      <c r="C518" s="217"/>
      <c r="D518" s="218"/>
      <c r="E518" s="219"/>
      <c r="F518" s="220"/>
      <c r="G518" s="221"/>
      <c r="H518" s="221"/>
      <c r="I518" s="222"/>
      <c r="J518" s="222"/>
      <c r="K518" s="222"/>
      <c r="L518" s="222"/>
      <c r="M518" s="222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customFormat="false" ht="14.25" hidden="false" customHeight="true" outlineLevel="0" collapsed="false">
      <c r="A519" s="217"/>
      <c r="B519" s="217"/>
      <c r="C519" s="217"/>
      <c r="D519" s="218"/>
      <c r="E519" s="219"/>
      <c r="F519" s="220"/>
      <c r="G519" s="221"/>
      <c r="H519" s="221"/>
      <c r="I519" s="222"/>
      <c r="J519" s="222"/>
      <c r="K519" s="222"/>
      <c r="L519" s="222"/>
      <c r="M519" s="222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customFormat="false" ht="14.25" hidden="false" customHeight="true" outlineLevel="0" collapsed="false">
      <c r="A520" s="217"/>
      <c r="B520" s="217"/>
      <c r="C520" s="217"/>
      <c r="D520" s="218"/>
      <c r="E520" s="219"/>
      <c r="F520" s="220"/>
      <c r="G520" s="221"/>
      <c r="H520" s="221"/>
      <c r="I520" s="222"/>
      <c r="J520" s="222"/>
      <c r="K520" s="222"/>
      <c r="L520" s="222"/>
      <c r="M520" s="222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customFormat="false" ht="14.25" hidden="false" customHeight="true" outlineLevel="0" collapsed="false">
      <c r="A521" s="217"/>
      <c r="B521" s="217"/>
      <c r="C521" s="217"/>
      <c r="D521" s="218"/>
      <c r="E521" s="219"/>
      <c r="F521" s="220"/>
      <c r="G521" s="221"/>
      <c r="H521" s="221"/>
      <c r="I521" s="222"/>
      <c r="J521" s="222"/>
      <c r="K521" s="222"/>
      <c r="L521" s="222"/>
      <c r="M521" s="222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customFormat="false" ht="14.25" hidden="false" customHeight="true" outlineLevel="0" collapsed="false">
      <c r="A522" s="217"/>
      <c r="B522" s="217"/>
      <c r="C522" s="217"/>
      <c r="D522" s="218"/>
      <c r="E522" s="219"/>
      <c r="F522" s="220"/>
      <c r="G522" s="221"/>
      <c r="H522" s="221"/>
      <c r="I522" s="222"/>
      <c r="J522" s="222"/>
      <c r="K522" s="222"/>
      <c r="L522" s="222"/>
      <c r="M522" s="222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customFormat="false" ht="14.25" hidden="false" customHeight="true" outlineLevel="0" collapsed="false">
      <c r="A523" s="217"/>
      <c r="B523" s="217"/>
      <c r="C523" s="217"/>
      <c r="D523" s="218"/>
      <c r="E523" s="219"/>
      <c r="F523" s="220"/>
      <c r="G523" s="221"/>
      <c r="H523" s="221"/>
      <c r="I523" s="222"/>
      <c r="J523" s="222"/>
      <c r="K523" s="222"/>
      <c r="L523" s="222"/>
      <c r="M523" s="222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customFormat="false" ht="14.25" hidden="false" customHeight="true" outlineLevel="0" collapsed="false">
      <c r="A524" s="217"/>
      <c r="B524" s="217"/>
      <c r="C524" s="217"/>
      <c r="D524" s="218"/>
      <c r="E524" s="219"/>
      <c r="F524" s="220"/>
      <c r="G524" s="221"/>
      <c r="H524" s="221"/>
      <c r="I524" s="222"/>
      <c r="J524" s="222"/>
      <c r="K524" s="222"/>
      <c r="L524" s="222"/>
      <c r="M524" s="222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customFormat="false" ht="14.25" hidden="false" customHeight="true" outlineLevel="0" collapsed="false">
      <c r="A525" s="217"/>
      <c r="B525" s="217"/>
      <c r="C525" s="217"/>
      <c r="D525" s="218"/>
      <c r="E525" s="219"/>
      <c r="F525" s="220"/>
      <c r="G525" s="221"/>
      <c r="H525" s="221"/>
      <c r="I525" s="222"/>
      <c r="J525" s="222"/>
      <c r="K525" s="222"/>
      <c r="L525" s="222"/>
      <c r="M525" s="222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customFormat="false" ht="14.25" hidden="false" customHeight="true" outlineLevel="0" collapsed="false">
      <c r="A526" s="217"/>
      <c r="B526" s="217"/>
      <c r="C526" s="217"/>
      <c r="D526" s="218"/>
      <c r="E526" s="219"/>
      <c r="F526" s="220"/>
      <c r="G526" s="221"/>
      <c r="H526" s="221"/>
      <c r="I526" s="222"/>
      <c r="J526" s="222"/>
      <c r="K526" s="222"/>
      <c r="L526" s="222"/>
      <c r="M526" s="222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customFormat="false" ht="14.25" hidden="false" customHeight="true" outlineLevel="0" collapsed="false">
      <c r="A527" s="217"/>
      <c r="B527" s="217"/>
      <c r="C527" s="217"/>
      <c r="D527" s="218"/>
      <c r="E527" s="219"/>
      <c r="F527" s="220"/>
      <c r="G527" s="221"/>
      <c r="H527" s="221"/>
      <c r="I527" s="222"/>
      <c r="J527" s="222"/>
      <c r="K527" s="222"/>
      <c r="L527" s="222"/>
      <c r="M527" s="222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customFormat="false" ht="14.25" hidden="false" customHeight="true" outlineLevel="0" collapsed="false">
      <c r="A528" s="217"/>
      <c r="B528" s="217"/>
      <c r="C528" s="217"/>
      <c r="D528" s="218"/>
      <c r="E528" s="219"/>
      <c r="F528" s="220"/>
      <c r="G528" s="221"/>
      <c r="H528" s="221"/>
      <c r="I528" s="222"/>
      <c r="J528" s="222"/>
      <c r="K528" s="222"/>
      <c r="L528" s="222"/>
      <c r="M528" s="222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customFormat="false" ht="14.25" hidden="false" customHeight="true" outlineLevel="0" collapsed="false">
      <c r="A529" s="217"/>
      <c r="B529" s="217"/>
      <c r="C529" s="217"/>
      <c r="D529" s="218"/>
      <c r="E529" s="219"/>
      <c r="F529" s="220"/>
      <c r="G529" s="221"/>
      <c r="H529" s="221"/>
      <c r="I529" s="222"/>
      <c r="J529" s="222"/>
      <c r="K529" s="222"/>
      <c r="L529" s="222"/>
      <c r="M529" s="222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customFormat="false" ht="14.25" hidden="false" customHeight="true" outlineLevel="0" collapsed="false">
      <c r="A530" s="217"/>
      <c r="B530" s="217"/>
      <c r="C530" s="217"/>
      <c r="D530" s="218"/>
      <c r="E530" s="219"/>
      <c r="F530" s="220"/>
      <c r="G530" s="221"/>
      <c r="H530" s="221"/>
      <c r="I530" s="222"/>
      <c r="J530" s="222"/>
      <c r="K530" s="222"/>
      <c r="L530" s="222"/>
      <c r="M530" s="222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customFormat="false" ht="14.25" hidden="false" customHeight="true" outlineLevel="0" collapsed="false">
      <c r="A531" s="217"/>
      <c r="B531" s="217"/>
      <c r="C531" s="217"/>
      <c r="D531" s="218"/>
      <c r="E531" s="219"/>
      <c r="F531" s="220"/>
      <c r="G531" s="221"/>
      <c r="H531" s="221"/>
      <c r="I531" s="222"/>
      <c r="J531" s="222"/>
      <c r="K531" s="222"/>
      <c r="L531" s="222"/>
      <c r="M531" s="222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customFormat="false" ht="14.25" hidden="false" customHeight="true" outlineLevel="0" collapsed="false">
      <c r="A532" s="217"/>
      <c r="B532" s="217"/>
      <c r="C532" s="217"/>
      <c r="D532" s="218"/>
      <c r="E532" s="219"/>
      <c r="F532" s="220"/>
      <c r="G532" s="221"/>
      <c r="H532" s="221"/>
      <c r="I532" s="222"/>
      <c r="J532" s="222"/>
      <c r="K532" s="222"/>
      <c r="L532" s="222"/>
      <c r="M532" s="222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customFormat="false" ht="14.25" hidden="false" customHeight="true" outlineLevel="0" collapsed="false">
      <c r="A533" s="217"/>
      <c r="B533" s="217"/>
      <c r="C533" s="217"/>
      <c r="D533" s="218"/>
      <c r="E533" s="219"/>
      <c r="F533" s="220"/>
      <c r="G533" s="221"/>
      <c r="H533" s="221"/>
      <c r="I533" s="222"/>
      <c r="J533" s="222"/>
      <c r="K533" s="222"/>
      <c r="L533" s="222"/>
      <c r="M533" s="222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customFormat="false" ht="14.25" hidden="false" customHeight="true" outlineLevel="0" collapsed="false">
      <c r="A534" s="217"/>
      <c r="B534" s="217"/>
      <c r="C534" s="217"/>
      <c r="D534" s="218"/>
      <c r="E534" s="219"/>
      <c r="F534" s="220"/>
      <c r="G534" s="221"/>
      <c r="H534" s="221"/>
      <c r="I534" s="222"/>
      <c r="J534" s="222"/>
      <c r="K534" s="222"/>
      <c r="L534" s="222"/>
      <c r="M534" s="222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customFormat="false" ht="14.25" hidden="false" customHeight="true" outlineLevel="0" collapsed="false">
      <c r="A535" s="217"/>
      <c r="B535" s="217"/>
      <c r="C535" s="217"/>
      <c r="D535" s="218"/>
      <c r="E535" s="219"/>
      <c r="F535" s="220"/>
      <c r="G535" s="221"/>
      <c r="H535" s="221"/>
      <c r="I535" s="222"/>
      <c r="J535" s="222"/>
      <c r="K535" s="222"/>
      <c r="L535" s="222"/>
      <c r="M535" s="222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customFormat="false" ht="14.25" hidden="false" customHeight="true" outlineLevel="0" collapsed="false">
      <c r="A536" s="217"/>
      <c r="B536" s="217"/>
      <c r="C536" s="217"/>
      <c r="D536" s="218"/>
      <c r="E536" s="219"/>
      <c r="F536" s="220"/>
      <c r="G536" s="221"/>
      <c r="H536" s="221"/>
      <c r="I536" s="222"/>
      <c r="J536" s="222"/>
      <c r="K536" s="222"/>
      <c r="L536" s="222"/>
      <c r="M536" s="222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customFormat="false" ht="14.25" hidden="false" customHeight="true" outlineLevel="0" collapsed="false">
      <c r="A537" s="217"/>
      <c r="B537" s="217"/>
      <c r="C537" s="217"/>
      <c r="D537" s="218"/>
      <c r="E537" s="219"/>
      <c r="F537" s="220"/>
      <c r="G537" s="221"/>
      <c r="H537" s="221"/>
      <c r="I537" s="222"/>
      <c r="J537" s="222"/>
      <c r="K537" s="222"/>
      <c r="L537" s="222"/>
      <c r="M537" s="222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customFormat="false" ht="14.25" hidden="false" customHeight="true" outlineLevel="0" collapsed="false">
      <c r="A538" s="217"/>
      <c r="B538" s="217"/>
      <c r="C538" s="217"/>
      <c r="D538" s="218"/>
      <c r="E538" s="219"/>
      <c r="F538" s="220"/>
      <c r="G538" s="221"/>
      <c r="H538" s="221"/>
      <c r="I538" s="222"/>
      <c r="J538" s="222"/>
      <c r="K538" s="222"/>
      <c r="L538" s="222"/>
      <c r="M538" s="222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customFormat="false" ht="14.25" hidden="false" customHeight="true" outlineLevel="0" collapsed="false">
      <c r="A539" s="217"/>
      <c r="B539" s="217"/>
      <c r="C539" s="217"/>
      <c r="D539" s="218"/>
      <c r="E539" s="219"/>
      <c r="F539" s="220"/>
      <c r="G539" s="221"/>
      <c r="H539" s="221"/>
      <c r="I539" s="222"/>
      <c r="J539" s="222"/>
      <c r="K539" s="222"/>
      <c r="L539" s="222"/>
      <c r="M539" s="222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customFormat="false" ht="14.25" hidden="false" customHeight="true" outlineLevel="0" collapsed="false">
      <c r="A540" s="217"/>
      <c r="B540" s="217"/>
      <c r="C540" s="217"/>
      <c r="D540" s="218"/>
      <c r="E540" s="219"/>
      <c r="F540" s="220"/>
      <c r="G540" s="221"/>
      <c r="H540" s="221"/>
      <c r="I540" s="222"/>
      <c r="J540" s="222"/>
      <c r="K540" s="222"/>
      <c r="L540" s="222"/>
      <c r="M540" s="222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customFormat="false" ht="14.25" hidden="false" customHeight="true" outlineLevel="0" collapsed="false">
      <c r="A541" s="217"/>
      <c r="B541" s="217"/>
      <c r="C541" s="217"/>
      <c r="D541" s="218"/>
      <c r="E541" s="219"/>
      <c r="F541" s="220"/>
      <c r="G541" s="221"/>
      <c r="H541" s="221"/>
      <c r="I541" s="222"/>
      <c r="J541" s="222"/>
      <c r="K541" s="222"/>
      <c r="L541" s="222"/>
      <c r="M541" s="222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customFormat="false" ht="14.25" hidden="false" customHeight="true" outlineLevel="0" collapsed="false">
      <c r="A542" s="217"/>
      <c r="B542" s="217"/>
      <c r="C542" s="217"/>
      <c r="D542" s="218"/>
      <c r="E542" s="219"/>
      <c r="F542" s="220"/>
      <c r="G542" s="221"/>
      <c r="H542" s="221"/>
      <c r="I542" s="222"/>
      <c r="J542" s="222"/>
      <c r="K542" s="222"/>
      <c r="L542" s="222"/>
      <c r="M542" s="222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customFormat="false" ht="14.25" hidden="false" customHeight="true" outlineLevel="0" collapsed="false">
      <c r="A543" s="217"/>
      <c r="B543" s="217"/>
      <c r="C543" s="217"/>
      <c r="D543" s="218"/>
      <c r="E543" s="219"/>
      <c r="F543" s="220"/>
      <c r="G543" s="221"/>
      <c r="H543" s="221"/>
      <c r="I543" s="222"/>
      <c r="J543" s="222"/>
      <c r="K543" s="222"/>
      <c r="L543" s="222"/>
      <c r="M543" s="222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customFormat="false" ht="14.25" hidden="false" customHeight="true" outlineLevel="0" collapsed="false">
      <c r="A544" s="217"/>
      <c r="B544" s="217"/>
      <c r="C544" s="217"/>
      <c r="D544" s="218"/>
      <c r="E544" s="219"/>
      <c r="F544" s="220"/>
      <c r="G544" s="221"/>
      <c r="H544" s="221"/>
      <c r="I544" s="222"/>
      <c r="J544" s="222"/>
      <c r="K544" s="222"/>
      <c r="L544" s="222"/>
      <c r="M544" s="222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customFormat="false" ht="14.25" hidden="false" customHeight="true" outlineLevel="0" collapsed="false">
      <c r="A545" s="217"/>
      <c r="B545" s="217"/>
      <c r="C545" s="217"/>
      <c r="D545" s="218"/>
      <c r="E545" s="219"/>
      <c r="F545" s="220"/>
      <c r="G545" s="221"/>
      <c r="H545" s="221"/>
      <c r="I545" s="222"/>
      <c r="J545" s="222"/>
      <c r="K545" s="222"/>
      <c r="L545" s="222"/>
      <c r="M545" s="222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customFormat="false" ht="14.25" hidden="false" customHeight="true" outlineLevel="0" collapsed="false">
      <c r="A546" s="217"/>
      <c r="B546" s="217"/>
      <c r="C546" s="217"/>
      <c r="D546" s="218"/>
      <c r="E546" s="219"/>
      <c r="F546" s="220"/>
      <c r="G546" s="221"/>
      <c r="H546" s="221"/>
      <c r="I546" s="222"/>
      <c r="J546" s="222"/>
      <c r="K546" s="222"/>
      <c r="L546" s="222"/>
      <c r="M546" s="222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customFormat="false" ht="14.25" hidden="false" customHeight="true" outlineLevel="0" collapsed="false">
      <c r="A547" s="217"/>
      <c r="B547" s="217"/>
      <c r="C547" s="217"/>
      <c r="D547" s="218"/>
      <c r="E547" s="219"/>
      <c r="F547" s="220"/>
      <c r="G547" s="221"/>
      <c r="H547" s="221"/>
      <c r="I547" s="222"/>
      <c r="J547" s="222"/>
      <c r="K547" s="222"/>
      <c r="L547" s="222"/>
      <c r="M547" s="222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customFormat="false" ht="14.25" hidden="false" customHeight="true" outlineLevel="0" collapsed="false">
      <c r="A548" s="217"/>
      <c r="B548" s="217"/>
      <c r="C548" s="217"/>
      <c r="D548" s="218"/>
      <c r="E548" s="219"/>
      <c r="F548" s="220"/>
      <c r="G548" s="221"/>
      <c r="H548" s="221"/>
      <c r="I548" s="222"/>
      <c r="J548" s="222"/>
      <c r="K548" s="222"/>
      <c r="L548" s="222"/>
      <c r="M548" s="222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customFormat="false" ht="14.25" hidden="false" customHeight="true" outlineLevel="0" collapsed="false">
      <c r="A549" s="217"/>
      <c r="B549" s="217"/>
      <c r="C549" s="217"/>
      <c r="D549" s="218"/>
      <c r="E549" s="219"/>
      <c r="F549" s="220"/>
      <c r="G549" s="221"/>
      <c r="H549" s="221"/>
      <c r="I549" s="222"/>
      <c r="J549" s="222"/>
      <c r="K549" s="222"/>
      <c r="L549" s="222"/>
      <c r="M549" s="222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customFormat="false" ht="14.25" hidden="false" customHeight="true" outlineLevel="0" collapsed="false">
      <c r="A550" s="217"/>
      <c r="B550" s="217"/>
      <c r="C550" s="217"/>
      <c r="D550" s="218"/>
      <c r="E550" s="219"/>
      <c r="F550" s="220"/>
      <c r="G550" s="221"/>
      <c r="H550" s="221"/>
      <c r="I550" s="222"/>
      <c r="J550" s="222"/>
      <c r="K550" s="222"/>
      <c r="L550" s="222"/>
      <c r="M550" s="222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customFormat="false" ht="14.25" hidden="false" customHeight="true" outlineLevel="0" collapsed="false">
      <c r="A551" s="217"/>
      <c r="B551" s="217"/>
      <c r="C551" s="217"/>
      <c r="D551" s="218"/>
      <c r="E551" s="219"/>
      <c r="F551" s="220"/>
      <c r="G551" s="221"/>
      <c r="H551" s="221"/>
      <c r="I551" s="222"/>
      <c r="J551" s="222"/>
      <c r="K551" s="222"/>
      <c r="L551" s="222"/>
      <c r="M551" s="222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customFormat="false" ht="14.25" hidden="false" customHeight="true" outlineLevel="0" collapsed="false">
      <c r="A552" s="217"/>
      <c r="B552" s="217"/>
      <c r="C552" s="217"/>
      <c r="D552" s="218"/>
      <c r="E552" s="219"/>
      <c r="F552" s="220"/>
      <c r="G552" s="221"/>
      <c r="H552" s="221"/>
      <c r="I552" s="222"/>
      <c r="J552" s="222"/>
      <c r="K552" s="222"/>
      <c r="L552" s="222"/>
      <c r="M552" s="222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customFormat="false" ht="14.25" hidden="false" customHeight="true" outlineLevel="0" collapsed="false">
      <c r="A553" s="217"/>
      <c r="B553" s="217"/>
      <c r="C553" s="217"/>
      <c r="D553" s="218"/>
      <c r="E553" s="219"/>
      <c r="F553" s="220"/>
      <c r="G553" s="221"/>
      <c r="H553" s="221"/>
      <c r="I553" s="222"/>
      <c r="J553" s="222"/>
      <c r="K553" s="222"/>
      <c r="L553" s="222"/>
      <c r="M553" s="222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customFormat="false" ht="14.25" hidden="false" customHeight="true" outlineLevel="0" collapsed="false">
      <c r="A554" s="217"/>
      <c r="B554" s="217"/>
      <c r="C554" s="217"/>
      <c r="D554" s="218"/>
      <c r="E554" s="219"/>
      <c r="F554" s="220"/>
      <c r="G554" s="221"/>
      <c r="H554" s="221"/>
      <c r="I554" s="222"/>
      <c r="J554" s="222"/>
      <c r="K554" s="222"/>
      <c r="L554" s="222"/>
      <c r="M554" s="222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customFormat="false" ht="14.25" hidden="false" customHeight="true" outlineLevel="0" collapsed="false">
      <c r="A555" s="217"/>
      <c r="B555" s="217"/>
      <c r="C555" s="217"/>
      <c r="D555" s="218"/>
      <c r="E555" s="219"/>
      <c r="F555" s="220"/>
      <c r="G555" s="221"/>
      <c r="H555" s="221"/>
      <c r="I555" s="222"/>
      <c r="J555" s="222"/>
      <c r="K555" s="222"/>
      <c r="L555" s="222"/>
      <c r="M555" s="222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customFormat="false" ht="14.25" hidden="false" customHeight="true" outlineLevel="0" collapsed="false">
      <c r="A556" s="217"/>
      <c r="B556" s="217"/>
      <c r="C556" s="217"/>
      <c r="D556" s="218"/>
      <c r="E556" s="219"/>
      <c r="F556" s="220"/>
      <c r="G556" s="221"/>
      <c r="H556" s="221"/>
      <c r="I556" s="222"/>
      <c r="J556" s="222"/>
      <c r="K556" s="222"/>
      <c r="L556" s="222"/>
      <c r="M556" s="222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customFormat="false" ht="14.25" hidden="false" customHeight="true" outlineLevel="0" collapsed="false">
      <c r="A557" s="217"/>
      <c r="B557" s="217"/>
      <c r="C557" s="217"/>
      <c r="D557" s="218"/>
      <c r="E557" s="219"/>
      <c r="F557" s="220"/>
      <c r="G557" s="221"/>
      <c r="H557" s="221"/>
      <c r="I557" s="222"/>
      <c r="J557" s="222"/>
      <c r="K557" s="222"/>
      <c r="L557" s="222"/>
      <c r="M557" s="222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customFormat="false" ht="14.25" hidden="false" customHeight="true" outlineLevel="0" collapsed="false">
      <c r="A558" s="217"/>
      <c r="B558" s="217"/>
      <c r="C558" s="217"/>
      <c r="D558" s="218"/>
      <c r="E558" s="219"/>
      <c r="F558" s="220"/>
      <c r="G558" s="221"/>
      <c r="H558" s="221"/>
      <c r="I558" s="222"/>
      <c r="J558" s="222"/>
      <c r="K558" s="222"/>
      <c r="L558" s="222"/>
      <c r="M558" s="222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customFormat="false" ht="14.25" hidden="false" customHeight="true" outlineLevel="0" collapsed="false">
      <c r="A559" s="217"/>
      <c r="B559" s="217"/>
      <c r="C559" s="217"/>
      <c r="D559" s="218"/>
      <c r="E559" s="219"/>
      <c r="F559" s="220"/>
      <c r="G559" s="221"/>
      <c r="H559" s="221"/>
      <c r="I559" s="222"/>
      <c r="J559" s="222"/>
      <c r="K559" s="222"/>
      <c r="L559" s="222"/>
      <c r="M559" s="222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customFormat="false" ht="14.25" hidden="false" customHeight="true" outlineLevel="0" collapsed="false">
      <c r="A560" s="217"/>
      <c r="B560" s="217"/>
      <c r="C560" s="217"/>
      <c r="D560" s="218"/>
      <c r="E560" s="219"/>
      <c r="F560" s="220"/>
      <c r="G560" s="221"/>
      <c r="H560" s="221"/>
      <c r="I560" s="222"/>
      <c r="J560" s="222"/>
      <c r="K560" s="222"/>
      <c r="L560" s="222"/>
      <c r="M560" s="222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customFormat="false" ht="14.25" hidden="false" customHeight="true" outlineLevel="0" collapsed="false">
      <c r="A561" s="217"/>
      <c r="B561" s="217"/>
      <c r="C561" s="217"/>
      <c r="D561" s="218"/>
      <c r="E561" s="219"/>
      <c r="F561" s="220"/>
      <c r="G561" s="221"/>
      <c r="H561" s="221"/>
      <c r="I561" s="222"/>
      <c r="J561" s="222"/>
      <c r="K561" s="222"/>
      <c r="L561" s="222"/>
      <c r="M561" s="222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customFormat="false" ht="14.25" hidden="false" customHeight="true" outlineLevel="0" collapsed="false">
      <c r="A562" s="217"/>
      <c r="B562" s="217"/>
      <c r="C562" s="217"/>
      <c r="D562" s="218"/>
      <c r="E562" s="219"/>
      <c r="F562" s="220"/>
      <c r="G562" s="221"/>
      <c r="H562" s="221"/>
      <c r="I562" s="222"/>
      <c r="J562" s="222"/>
      <c r="K562" s="222"/>
      <c r="L562" s="222"/>
      <c r="M562" s="222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customFormat="false" ht="14.25" hidden="false" customHeight="true" outlineLevel="0" collapsed="false">
      <c r="A563" s="217"/>
      <c r="B563" s="217"/>
      <c r="C563" s="217"/>
      <c r="D563" s="218"/>
      <c r="E563" s="219"/>
      <c r="F563" s="220"/>
      <c r="G563" s="221"/>
      <c r="H563" s="221"/>
      <c r="I563" s="222"/>
      <c r="J563" s="222"/>
      <c r="K563" s="222"/>
      <c r="L563" s="222"/>
      <c r="M563" s="222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customFormat="false" ht="14.25" hidden="false" customHeight="true" outlineLevel="0" collapsed="false">
      <c r="A564" s="217"/>
      <c r="B564" s="217"/>
      <c r="C564" s="217"/>
      <c r="D564" s="218"/>
      <c r="E564" s="219"/>
      <c r="F564" s="220"/>
      <c r="G564" s="221"/>
      <c r="H564" s="221"/>
      <c r="I564" s="222"/>
      <c r="J564" s="222"/>
      <c r="K564" s="222"/>
      <c r="L564" s="222"/>
      <c r="M564" s="222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customFormat="false" ht="14.25" hidden="false" customHeight="true" outlineLevel="0" collapsed="false">
      <c r="A565" s="217"/>
      <c r="B565" s="217"/>
      <c r="C565" s="217"/>
      <c r="D565" s="218"/>
      <c r="E565" s="219"/>
      <c r="F565" s="220"/>
      <c r="G565" s="221"/>
      <c r="H565" s="221"/>
      <c r="I565" s="222"/>
      <c r="J565" s="222"/>
      <c r="K565" s="222"/>
      <c r="L565" s="222"/>
      <c r="M565" s="222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customFormat="false" ht="14.25" hidden="false" customHeight="true" outlineLevel="0" collapsed="false">
      <c r="A566" s="217"/>
      <c r="B566" s="217"/>
      <c r="C566" s="217"/>
      <c r="D566" s="218"/>
      <c r="E566" s="219"/>
      <c r="F566" s="220"/>
      <c r="G566" s="221"/>
      <c r="H566" s="221"/>
      <c r="I566" s="222"/>
      <c r="J566" s="222"/>
      <c r="K566" s="222"/>
      <c r="L566" s="222"/>
      <c r="M566" s="222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customFormat="false" ht="14.25" hidden="false" customHeight="true" outlineLevel="0" collapsed="false">
      <c r="A567" s="217"/>
      <c r="B567" s="217"/>
      <c r="C567" s="217"/>
      <c r="D567" s="218"/>
      <c r="E567" s="219"/>
      <c r="F567" s="220"/>
      <c r="G567" s="221"/>
      <c r="H567" s="221"/>
      <c r="I567" s="222"/>
      <c r="J567" s="222"/>
      <c r="K567" s="222"/>
      <c r="L567" s="222"/>
      <c r="M567" s="222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customFormat="false" ht="14.25" hidden="false" customHeight="true" outlineLevel="0" collapsed="false">
      <c r="A568" s="217"/>
      <c r="B568" s="217"/>
      <c r="C568" s="217"/>
      <c r="D568" s="218"/>
      <c r="E568" s="219"/>
      <c r="F568" s="220"/>
      <c r="G568" s="221"/>
      <c r="H568" s="221"/>
      <c r="I568" s="222"/>
      <c r="J568" s="222"/>
      <c r="K568" s="222"/>
      <c r="L568" s="222"/>
      <c r="M568" s="222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customFormat="false" ht="14.25" hidden="false" customHeight="true" outlineLevel="0" collapsed="false">
      <c r="A569" s="217"/>
      <c r="B569" s="217"/>
      <c r="C569" s="217"/>
      <c r="D569" s="218"/>
      <c r="E569" s="219"/>
      <c r="F569" s="220"/>
      <c r="G569" s="221"/>
      <c r="H569" s="221"/>
      <c r="I569" s="222"/>
      <c r="J569" s="222"/>
      <c r="K569" s="222"/>
      <c r="L569" s="222"/>
      <c r="M569" s="222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customFormat="false" ht="14.25" hidden="false" customHeight="true" outlineLevel="0" collapsed="false">
      <c r="A570" s="217"/>
      <c r="B570" s="217"/>
      <c r="C570" s="217"/>
      <c r="D570" s="218"/>
      <c r="E570" s="219"/>
      <c r="F570" s="220"/>
      <c r="G570" s="221"/>
      <c r="H570" s="221"/>
      <c r="I570" s="222"/>
      <c r="J570" s="222"/>
      <c r="K570" s="222"/>
      <c r="L570" s="222"/>
      <c r="M570" s="222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customFormat="false" ht="14.25" hidden="false" customHeight="true" outlineLevel="0" collapsed="false">
      <c r="A571" s="217"/>
      <c r="B571" s="217"/>
      <c r="C571" s="217"/>
      <c r="D571" s="218"/>
      <c r="E571" s="219"/>
      <c r="F571" s="220"/>
      <c r="G571" s="221"/>
      <c r="H571" s="221"/>
      <c r="I571" s="222"/>
      <c r="J571" s="222"/>
      <c r="K571" s="222"/>
      <c r="L571" s="222"/>
      <c r="M571" s="222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customFormat="false" ht="14.25" hidden="false" customHeight="true" outlineLevel="0" collapsed="false">
      <c r="A572" s="217"/>
      <c r="B572" s="217"/>
      <c r="C572" s="217"/>
      <c r="D572" s="218"/>
      <c r="E572" s="219"/>
      <c r="F572" s="220"/>
      <c r="G572" s="221"/>
      <c r="H572" s="221"/>
      <c r="I572" s="222"/>
      <c r="J572" s="222"/>
      <c r="K572" s="222"/>
      <c r="L572" s="222"/>
      <c r="M572" s="222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customFormat="false" ht="14.25" hidden="false" customHeight="true" outlineLevel="0" collapsed="false">
      <c r="A573" s="217"/>
      <c r="B573" s="217"/>
      <c r="C573" s="217"/>
      <c r="D573" s="218"/>
      <c r="E573" s="219"/>
      <c r="F573" s="220"/>
      <c r="G573" s="221"/>
      <c r="H573" s="221"/>
      <c r="I573" s="222"/>
      <c r="J573" s="222"/>
      <c r="K573" s="222"/>
      <c r="L573" s="222"/>
      <c r="M573" s="222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customFormat="false" ht="14.25" hidden="false" customHeight="true" outlineLevel="0" collapsed="false">
      <c r="A574" s="217"/>
      <c r="B574" s="217"/>
      <c r="C574" s="217"/>
      <c r="D574" s="218"/>
      <c r="E574" s="219"/>
      <c r="F574" s="220"/>
      <c r="G574" s="221"/>
      <c r="H574" s="221"/>
      <c r="I574" s="222"/>
      <c r="J574" s="222"/>
      <c r="K574" s="222"/>
      <c r="L574" s="222"/>
      <c r="M574" s="222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customFormat="false" ht="14.25" hidden="false" customHeight="true" outlineLevel="0" collapsed="false">
      <c r="A575" s="217"/>
      <c r="B575" s="217"/>
      <c r="C575" s="217"/>
      <c r="D575" s="218"/>
      <c r="E575" s="219"/>
      <c r="F575" s="220"/>
      <c r="G575" s="221"/>
      <c r="H575" s="221"/>
      <c r="I575" s="222"/>
      <c r="J575" s="222"/>
      <c r="K575" s="222"/>
      <c r="L575" s="222"/>
      <c r="M575" s="222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customFormat="false" ht="14.25" hidden="false" customHeight="true" outlineLevel="0" collapsed="false">
      <c r="A576" s="217"/>
      <c r="B576" s="217"/>
      <c r="C576" s="217"/>
      <c r="D576" s="218"/>
      <c r="E576" s="219"/>
      <c r="F576" s="220"/>
      <c r="G576" s="221"/>
      <c r="H576" s="221"/>
      <c r="I576" s="222"/>
      <c r="J576" s="222"/>
      <c r="K576" s="222"/>
      <c r="L576" s="222"/>
      <c r="M576" s="222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customFormat="false" ht="14.25" hidden="false" customHeight="true" outlineLevel="0" collapsed="false">
      <c r="A577" s="217"/>
      <c r="B577" s="217"/>
      <c r="C577" s="217"/>
      <c r="D577" s="218"/>
      <c r="E577" s="219"/>
      <c r="F577" s="220"/>
      <c r="G577" s="221"/>
      <c r="H577" s="221"/>
      <c r="I577" s="222"/>
      <c r="J577" s="222"/>
      <c r="K577" s="222"/>
      <c r="L577" s="222"/>
      <c r="M577" s="222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customFormat="false" ht="14.25" hidden="false" customHeight="true" outlineLevel="0" collapsed="false">
      <c r="A578" s="217"/>
      <c r="B578" s="217"/>
      <c r="C578" s="217"/>
      <c r="D578" s="218"/>
      <c r="E578" s="219"/>
      <c r="F578" s="220"/>
      <c r="G578" s="221"/>
      <c r="H578" s="221"/>
      <c r="I578" s="222"/>
      <c r="J578" s="222"/>
      <c r="K578" s="222"/>
      <c r="L578" s="222"/>
      <c r="M578" s="222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customFormat="false" ht="14.25" hidden="false" customHeight="true" outlineLevel="0" collapsed="false">
      <c r="A579" s="217"/>
      <c r="B579" s="217"/>
      <c r="C579" s="217"/>
      <c r="D579" s="218"/>
      <c r="E579" s="219"/>
      <c r="F579" s="220"/>
      <c r="G579" s="221"/>
      <c r="H579" s="221"/>
      <c r="I579" s="222"/>
      <c r="J579" s="222"/>
      <c r="K579" s="222"/>
      <c r="L579" s="222"/>
      <c r="M579" s="222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customFormat="false" ht="14.25" hidden="false" customHeight="true" outlineLevel="0" collapsed="false">
      <c r="A580" s="217"/>
      <c r="B580" s="217"/>
      <c r="C580" s="217"/>
      <c r="D580" s="218"/>
      <c r="E580" s="219"/>
      <c r="F580" s="220"/>
      <c r="G580" s="221"/>
      <c r="H580" s="221"/>
      <c r="I580" s="222"/>
      <c r="J580" s="222"/>
      <c r="K580" s="222"/>
      <c r="L580" s="222"/>
      <c r="M580" s="222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customFormat="false" ht="14.25" hidden="false" customHeight="true" outlineLevel="0" collapsed="false">
      <c r="A581" s="217"/>
      <c r="B581" s="217"/>
      <c r="C581" s="217"/>
      <c r="D581" s="218"/>
      <c r="E581" s="219"/>
      <c r="F581" s="220"/>
      <c r="G581" s="221"/>
      <c r="H581" s="221"/>
      <c r="I581" s="222"/>
      <c r="J581" s="222"/>
      <c r="K581" s="222"/>
      <c r="L581" s="222"/>
      <c r="M581" s="222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customFormat="false" ht="14.25" hidden="false" customHeight="true" outlineLevel="0" collapsed="false">
      <c r="A582" s="217"/>
      <c r="B582" s="217"/>
      <c r="C582" s="217"/>
      <c r="D582" s="218"/>
      <c r="E582" s="219"/>
      <c r="F582" s="220"/>
      <c r="G582" s="221"/>
      <c r="H582" s="221"/>
      <c r="I582" s="222"/>
      <c r="J582" s="222"/>
      <c r="K582" s="222"/>
      <c r="L582" s="222"/>
      <c r="M582" s="222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customFormat="false" ht="14.25" hidden="false" customHeight="true" outlineLevel="0" collapsed="false">
      <c r="A583" s="217"/>
      <c r="B583" s="217"/>
      <c r="C583" s="217"/>
      <c r="D583" s="218"/>
      <c r="E583" s="219"/>
      <c r="F583" s="220"/>
      <c r="G583" s="221"/>
      <c r="H583" s="221"/>
      <c r="I583" s="222"/>
      <c r="J583" s="222"/>
      <c r="K583" s="222"/>
      <c r="L583" s="222"/>
      <c r="M583" s="222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customFormat="false" ht="14.25" hidden="false" customHeight="true" outlineLevel="0" collapsed="false">
      <c r="A584" s="217"/>
      <c r="B584" s="217"/>
      <c r="C584" s="217"/>
      <c r="D584" s="218"/>
      <c r="E584" s="219"/>
      <c r="F584" s="220"/>
      <c r="G584" s="221"/>
      <c r="H584" s="221"/>
      <c r="I584" s="222"/>
      <c r="J584" s="222"/>
      <c r="K584" s="222"/>
      <c r="L584" s="222"/>
      <c r="M584" s="222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customFormat="false" ht="14.25" hidden="false" customHeight="true" outlineLevel="0" collapsed="false">
      <c r="A585" s="217"/>
      <c r="B585" s="217"/>
      <c r="C585" s="217"/>
      <c r="D585" s="218"/>
      <c r="E585" s="219"/>
      <c r="F585" s="220"/>
      <c r="G585" s="221"/>
      <c r="H585" s="221"/>
      <c r="I585" s="222"/>
      <c r="J585" s="222"/>
      <c r="K585" s="222"/>
      <c r="L585" s="222"/>
      <c r="M585" s="222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customFormat="false" ht="14.25" hidden="false" customHeight="true" outlineLevel="0" collapsed="false">
      <c r="A586" s="217"/>
      <c r="B586" s="217"/>
      <c r="C586" s="217"/>
      <c r="D586" s="218"/>
      <c r="E586" s="219"/>
      <c r="F586" s="220"/>
      <c r="G586" s="221"/>
      <c r="H586" s="221"/>
      <c r="I586" s="222"/>
      <c r="J586" s="222"/>
      <c r="K586" s="222"/>
      <c r="L586" s="222"/>
      <c r="M586" s="222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customFormat="false" ht="14.25" hidden="false" customHeight="true" outlineLevel="0" collapsed="false">
      <c r="A587" s="217"/>
      <c r="B587" s="217"/>
      <c r="C587" s="217"/>
      <c r="D587" s="218"/>
      <c r="E587" s="219"/>
      <c r="F587" s="220"/>
      <c r="G587" s="221"/>
      <c r="H587" s="221"/>
      <c r="I587" s="222"/>
      <c r="J587" s="222"/>
      <c r="K587" s="222"/>
      <c r="L587" s="222"/>
      <c r="M587" s="222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customFormat="false" ht="14.25" hidden="false" customHeight="true" outlineLevel="0" collapsed="false">
      <c r="A588" s="217"/>
      <c r="B588" s="217"/>
      <c r="C588" s="217"/>
      <c r="D588" s="218"/>
      <c r="E588" s="219"/>
      <c r="F588" s="220"/>
      <c r="G588" s="221"/>
      <c r="H588" s="221"/>
      <c r="I588" s="222"/>
      <c r="J588" s="222"/>
      <c r="K588" s="222"/>
      <c r="L588" s="222"/>
      <c r="M588" s="222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customFormat="false" ht="14.25" hidden="false" customHeight="true" outlineLevel="0" collapsed="false">
      <c r="A589" s="217"/>
      <c r="B589" s="217"/>
      <c r="C589" s="217"/>
      <c r="D589" s="218"/>
      <c r="E589" s="219"/>
      <c r="F589" s="220"/>
      <c r="G589" s="221"/>
      <c r="H589" s="221"/>
      <c r="I589" s="222"/>
      <c r="J589" s="222"/>
      <c r="K589" s="222"/>
      <c r="L589" s="222"/>
      <c r="M589" s="222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customFormat="false" ht="14.25" hidden="false" customHeight="true" outlineLevel="0" collapsed="false">
      <c r="A590" s="217"/>
      <c r="B590" s="217"/>
      <c r="C590" s="217"/>
      <c r="D590" s="218"/>
      <c r="E590" s="219"/>
      <c r="F590" s="220"/>
      <c r="G590" s="221"/>
      <c r="H590" s="221"/>
      <c r="I590" s="222"/>
      <c r="J590" s="222"/>
      <c r="K590" s="222"/>
      <c r="L590" s="222"/>
      <c r="M590" s="222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customFormat="false" ht="14.25" hidden="false" customHeight="true" outlineLevel="0" collapsed="false">
      <c r="A591" s="217"/>
      <c r="B591" s="217"/>
      <c r="C591" s="217"/>
      <c r="D591" s="218"/>
      <c r="E591" s="219"/>
      <c r="F591" s="220"/>
      <c r="G591" s="221"/>
      <c r="H591" s="221"/>
      <c r="I591" s="222"/>
      <c r="J591" s="222"/>
      <c r="K591" s="222"/>
      <c r="L591" s="222"/>
      <c r="M591" s="222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customFormat="false" ht="14.25" hidden="false" customHeight="true" outlineLevel="0" collapsed="false">
      <c r="A592" s="217"/>
      <c r="B592" s="217"/>
      <c r="C592" s="217"/>
      <c r="D592" s="218"/>
      <c r="E592" s="219"/>
      <c r="F592" s="220"/>
      <c r="G592" s="221"/>
      <c r="H592" s="221"/>
      <c r="I592" s="222"/>
      <c r="J592" s="222"/>
      <c r="K592" s="222"/>
      <c r="L592" s="222"/>
      <c r="M592" s="222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customFormat="false" ht="14.25" hidden="false" customHeight="true" outlineLevel="0" collapsed="false">
      <c r="A593" s="217"/>
      <c r="B593" s="217"/>
      <c r="C593" s="217"/>
      <c r="D593" s="218"/>
      <c r="E593" s="219"/>
      <c r="F593" s="220"/>
      <c r="G593" s="221"/>
      <c r="H593" s="221"/>
      <c r="I593" s="222"/>
      <c r="J593" s="222"/>
      <c r="K593" s="222"/>
      <c r="L593" s="222"/>
      <c r="M593" s="222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customFormat="false" ht="14.25" hidden="false" customHeight="true" outlineLevel="0" collapsed="false">
      <c r="A594" s="217"/>
      <c r="B594" s="217"/>
      <c r="C594" s="217"/>
      <c r="D594" s="218"/>
      <c r="E594" s="219"/>
      <c r="F594" s="220"/>
      <c r="G594" s="221"/>
      <c r="H594" s="221"/>
      <c r="I594" s="222"/>
      <c r="J594" s="222"/>
      <c r="K594" s="222"/>
      <c r="L594" s="222"/>
      <c r="M594" s="222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customFormat="false" ht="14.25" hidden="false" customHeight="true" outlineLevel="0" collapsed="false">
      <c r="A595" s="217"/>
      <c r="B595" s="217"/>
      <c r="C595" s="217"/>
      <c r="D595" s="218"/>
      <c r="E595" s="219"/>
      <c r="F595" s="220"/>
      <c r="G595" s="221"/>
      <c r="H595" s="221"/>
      <c r="I595" s="222"/>
      <c r="J595" s="222"/>
      <c r="K595" s="222"/>
      <c r="L595" s="222"/>
      <c r="M595" s="222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customFormat="false" ht="14.25" hidden="false" customHeight="true" outlineLevel="0" collapsed="false">
      <c r="A596" s="217"/>
      <c r="B596" s="217"/>
      <c r="C596" s="217"/>
      <c r="D596" s="218"/>
      <c r="E596" s="219"/>
      <c r="F596" s="220"/>
      <c r="G596" s="221"/>
      <c r="H596" s="221"/>
      <c r="I596" s="222"/>
      <c r="J596" s="222"/>
      <c r="K596" s="222"/>
      <c r="L596" s="222"/>
      <c r="M596" s="222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customFormat="false" ht="14.25" hidden="false" customHeight="true" outlineLevel="0" collapsed="false">
      <c r="A597" s="217"/>
      <c r="B597" s="217"/>
      <c r="C597" s="217"/>
      <c r="D597" s="218"/>
      <c r="E597" s="219"/>
      <c r="F597" s="220"/>
      <c r="G597" s="221"/>
      <c r="H597" s="221"/>
      <c r="I597" s="222"/>
      <c r="J597" s="222"/>
      <c r="K597" s="222"/>
      <c r="L597" s="222"/>
      <c r="M597" s="222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customFormat="false" ht="14.25" hidden="false" customHeight="true" outlineLevel="0" collapsed="false">
      <c r="A598" s="217"/>
      <c r="B598" s="217"/>
      <c r="C598" s="217"/>
      <c r="D598" s="218"/>
      <c r="E598" s="219"/>
      <c r="F598" s="220"/>
      <c r="G598" s="221"/>
      <c r="H598" s="221"/>
      <c r="I598" s="222"/>
      <c r="J598" s="222"/>
      <c r="K598" s="222"/>
      <c r="L598" s="222"/>
      <c r="M598" s="222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customFormat="false" ht="14.25" hidden="false" customHeight="true" outlineLevel="0" collapsed="false">
      <c r="A599" s="217"/>
      <c r="B599" s="217"/>
      <c r="C599" s="217"/>
      <c r="D599" s="218"/>
      <c r="E599" s="219"/>
      <c r="F599" s="220"/>
      <c r="G599" s="221"/>
      <c r="H599" s="221"/>
      <c r="I599" s="222"/>
      <c r="J599" s="222"/>
      <c r="K599" s="222"/>
      <c r="L599" s="222"/>
      <c r="M599" s="222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customFormat="false" ht="14.25" hidden="false" customHeight="true" outlineLevel="0" collapsed="false">
      <c r="A600" s="217"/>
      <c r="B600" s="217"/>
      <c r="C600" s="217"/>
      <c r="D600" s="218"/>
      <c r="E600" s="219"/>
      <c r="F600" s="220"/>
      <c r="G600" s="221"/>
      <c r="H600" s="221"/>
      <c r="I600" s="222"/>
      <c r="J600" s="222"/>
      <c r="K600" s="222"/>
      <c r="L600" s="222"/>
      <c r="M600" s="222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customFormat="false" ht="14.25" hidden="false" customHeight="true" outlineLevel="0" collapsed="false">
      <c r="A601" s="217"/>
      <c r="B601" s="217"/>
      <c r="C601" s="217"/>
      <c r="D601" s="218"/>
      <c r="E601" s="219"/>
      <c r="F601" s="220"/>
      <c r="G601" s="221"/>
      <c r="H601" s="221"/>
      <c r="I601" s="222"/>
      <c r="J601" s="222"/>
      <c r="K601" s="222"/>
      <c r="L601" s="222"/>
      <c r="M601" s="222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customFormat="false" ht="14.25" hidden="false" customHeight="true" outlineLevel="0" collapsed="false">
      <c r="A602" s="217"/>
      <c r="B602" s="217"/>
      <c r="C602" s="217"/>
      <c r="D602" s="218"/>
      <c r="E602" s="219"/>
      <c r="F602" s="220"/>
      <c r="G602" s="221"/>
      <c r="H602" s="221"/>
      <c r="I602" s="222"/>
      <c r="J602" s="222"/>
      <c r="K602" s="222"/>
      <c r="L602" s="222"/>
      <c r="M602" s="222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customFormat="false" ht="14.25" hidden="false" customHeight="true" outlineLevel="0" collapsed="false">
      <c r="A603" s="217"/>
      <c r="B603" s="217"/>
      <c r="C603" s="217"/>
      <c r="D603" s="218"/>
      <c r="E603" s="219"/>
      <c r="F603" s="220"/>
      <c r="G603" s="221"/>
      <c r="H603" s="221"/>
      <c r="I603" s="222"/>
      <c r="J603" s="222"/>
      <c r="K603" s="222"/>
      <c r="L603" s="222"/>
      <c r="M603" s="222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customFormat="false" ht="14.25" hidden="false" customHeight="true" outlineLevel="0" collapsed="false">
      <c r="A604" s="217"/>
      <c r="B604" s="217"/>
      <c r="C604" s="217"/>
      <c r="D604" s="218"/>
      <c r="E604" s="219"/>
      <c r="F604" s="220"/>
      <c r="G604" s="221"/>
      <c r="H604" s="221"/>
      <c r="I604" s="222"/>
      <c r="J604" s="222"/>
      <c r="K604" s="222"/>
      <c r="L604" s="222"/>
      <c r="M604" s="222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customFormat="false" ht="14.25" hidden="false" customHeight="true" outlineLevel="0" collapsed="false">
      <c r="A605" s="217"/>
      <c r="B605" s="217"/>
      <c r="C605" s="217"/>
      <c r="D605" s="218"/>
      <c r="E605" s="219"/>
      <c r="F605" s="220"/>
      <c r="G605" s="221"/>
      <c r="H605" s="221"/>
      <c r="I605" s="222"/>
      <c r="J605" s="222"/>
      <c r="K605" s="222"/>
      <c r="L605" s="222"/>
      <c r="M605" s="222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customFormat="false" ht="14.25" hidden="false" customHeight="true" outlineLevel="0" collapsed="false">
      <c r="A606" s="217"/>
      <c r="B606" s="217"/>
      <c r="C606" s="217"/>
      <c r="D606" s="218"/>
      <c r="E606" s="219"/>
      <c r="F606" s="220"/>
      <c r="G606" s="221"/>
      <c r="H606" s="221"/>
      <c r="I606" s="222"/>
      <c r="J606" s="222"/>
      <c r="K606" s="222"/>
      <c r="L606" s="222"/>
      <c r="M606" s="222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customFormat="false" ht="14.25" hidden="false" customHeight="true" outlineLevel="0" collapsed="false">
      <c r="A607" s="217"/>
      <c r="B607" s="217"/>
      <c r="C607" s="217"/>
      <c r="D607" s="218"/>
      <c r="E607" s="219"/>
      <c r="F607" s="220"/>
      <c r="G607" s="221"/>
      <c r="H607" s="221"/>
      <c r="I607" s="222"/>
      <c r="J607" s="222"/>
      <c r="K607" s="222"/>
      <c r="L607" s="222"/>
      <c r="M607" s="222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customFormat="false" ht="14.25" hidden="false" customHeight="true" outlineLevel="0" collapsed="false">
      <c r="A608" s="217"/>
      <c r="B608" s="217"/>
      <c r="C608" s="217"/>
      <c r="D608" s="218"/>
      <c r="E608" s="219"/>
      <c r="F608" s="220"/>
      <c r="G608" s="221"/>
      <c r="H608" s="221"/>
      <c r="I608" s="222"/>
      <c r="J608" s="222"/>
      <c r="K608" s="222"/>
      <c r="L608" s="222"/>
      <c r="M608" s="222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customFormat="false" ht="14.25" hidden="false" customHeight="true" outlineLevel="0" collapsed="false">
      <c r="A609" s="217"/>
      <c r="B609" s="217"/>
      <c r="C609" s="217"/>
      <c r="D609" s="218"/>
      <c r="E609" s="219"/>
      <c r="F609" s="220"/>
      <c r="G609" s="221"/>
      <c r="H609" s="221"/>
      <c r="I609" s="222"/>
      <c r="J609" s="222"/>
      <c r="K609" s="222"/>
      <c r="L609" s="222"/>
      <c r="M609" s="222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customFormat="false" ht="14.25" hidden="false" customHeight="true" outlineLevel="0" collapsed="false">
      <c r="A610" s="217"/>
      <c r="B610" s="217"/>
      <c r="C610" s="217"/>
      <c r="D610" s="218"/>
      <c r="E610" s="219"/>
      <c r="F610" s="220"/>
      <c r="G610" s="221"/>
      <c r="H610" s="221"/>
      <c r="I610" s="222"/>
      <c r="J610" s="222"/>
      <c r="K610" s="222"/>
      <c r="L610" s="222"/>
      <c r="M610" s="222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customFormat="false" ht="14.25" hidden="false" customHeight="true" outlineLevel="0" collapsed="false">
      <c r="A611" s="217"/>
      <c r="B611" s="217"/>
      <c r="C611" s="217"/>
      <c r="D611" s="218"/>
      <c r="E611" s="219"/>
      <c r="F611" s="220"/>
      <c r="G611" s="221"/>
      <c r="H611" s="221"/>
      <c r="I611" s="222"/>
      <c r="J611" s="222"/>
      <c r="K611" s="222"/>
      <c r="L611" s="222"/>
      <c r="M611" s="222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customFormat="false" ht="14.25" hidden="false" customHeight="true" outlineLevel="0" collapsed="false">
      <c r="A612" s="217"/>
      <c r="B612" s="217"/>
      <c r="C612" s="217"/>
      <c r="D612" s="218"/>
      <c r="E612" s="219"/>
      <c r="F612" s="220"/>
      <c r="G612" s="221"/>
      <c r="H612" s="221"/>
      <c r="I612" s="222"/>
      <c r="J612" s="222"/>
      <c r="K612" s="222"/>
      <c r="L612" s="222"/>
      <c r="M612" s="222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customFormat="false" ht="14.25" hidden="false" customHeight="true" outlineLevel="0" collapsed="false">
      <c r="A613" s="217"/>
      <c r="B613" s="217"/>
      <c r="C613" s="217"/>
      <c r="D613" s="218"/>
      <c r="E613" s="219"/>
      <c r="F613" s="220"/>
      <c r="G613" s="221"/>
      <c r="H613" s="221"/>
      <c r="I613" s="222"/>
      <c r="J613" s="222"/>
      <c r="K613" s="222"/>
      <c r="L613" s="222"/>
      <c r="M613" s="222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customFormat="false" ht="14.25" hidden="false" customHeight="true" outlineLevel="0" collapsed="false">
      <c r="A614" s="217"/>
      <c r="B614" s="217"/>
      <c r="C614" s="217"/>
      <c r="D614" s="218"/>
      <c r="E614" s="219"/>
      <c r="F614" s="220"/>
      <c r="G614" s="221"/>
      <c r="H614" s="221"/>
      <c r="I614" s="222"/>
      <c r="J614" s="222"/>
      <c r="K614" s="222"/>
      <c r="L614" s="222"/>
      <c r="M614" s="222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customFormat="false" ht="14.25" hidden="false" customHeight="true" outlineLevel="0" collapsed="false">
      <c r="A615" s="217"/>
      <c r="B615" s="217"/>
      <c r="C615" s="217"/>
      <c r="D615" s="218"/>
      <c r="E615" s="219"/>
      <c r="F615" s="220"/>
      <c r="G615" s="221"/>
      <c r="H615" s="221"/>
      <c r="I615" s="222"/>
      <c r="J615" s="222"/>
      <c r="K615" s="222"/>
      <c r="L615" s="222"/>
      <c r="M615" s="222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customFormat="false" ht="14.25" hidden="false" customHeight="true" outlineLevel="0" collapsed="false">
      <c r="A616" s="217"/>
      <c r="B616" s="217"/>
      <c r="C616" s="217"/>
      <c r="D616" s="218"/>
      <c r="E616" s="219"/>
      <c r="F616" s="220"/>
      <c r="G616" s="221"/>
      <c r="H616" s="221"/>
      <c r="I616" s="222"/>
      <c r="J616" s="222"/>
      <c r="K616" s="222"/>
      <c r="L616" s="222"/>
      <c r="M616" s="222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customFormat="false" ht="14.25" hidden="false" customHeight="true" outlineLevel="0" collapsed="false">
      <c r="A617" s="217"/>
      <c r="B617" s="217"/>
      <c r="C617" s="217"/>
      <c r="D617" s="218"/>
      <c r="E617" s="219"/>
      <c r="F617" s="220"/>
      <c r="G617" s="221"/>
      <c r="H617" s="221"/>
      <c r="I617" s="222"/>
      <c r="J617" s="222"/>
      <c r="K617" s="222"/>
      <c r="L617" s="222"/>
      <c r="M617" s="222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customFormat="false" ht="14.25" hidden="false" customHeight="true" outlineLevel="0" collapsed="false">
      <c r="A618" s="217"/>
      <c r="B618" s="217"/>
      <c r="C618" s="217"/>
      <c r="D618" s="218"/>
      <c r="E618" s="219"/>
      <c r="F618" s="220"/>
      <c r="G618" s="221"/>
      <c r="H618" s="221"/>
      <c r="I618" s="222"/>
      <c r="J618" s="222"/>
      <c r="K618" s="222"/>
      <c r="L618" s="222"/>
      <c r="M618" s="222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customFormat="false" ht="14.25" hidden="false" customHeight="true" outlineLevel="0" collapsed="false">
      <c r="A619" s="217"/>
      <c r="B619" s="217"/>
      <c r="C619" s="217"/>
      <c r="D619" s="218"/>
      <c r="E619" s="219"/>
      <c r="F619" s="220"/>
      <c r="G619" s="221"/>
      <c r="H619" s="221"/>
      <c r="I619" s="222"/>
      <c r="J619" s="222"/>
      <c r="K619" s="222"/>
      <c r="L619" s="222"/>
      <c r="M619" s="222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customFormat="false" ht="14.25" hidden="false" customHeight="true" outlineLevel="0" collapsed="false">
      <c r="A620" s="217"/>
      <c r="B620" s="217"/>
      <c r="C620" s="217"/>
      <c r="D620" s="218"/>
      <c r="E620" s="219"/>
      <c r="F620" s="220"/>
      <c r="G620" s="221"/>
      <c r="H620" s="221"/>
      <c r="I620" s="222"/>
      <c r="J620" s="222"/>
      <c r="K620" s="222"/>
      <c r="L620" s="222"/>
      <c r="M620" s="222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customFormat="false" ht="14.25" hidden="false" customHeight="true" outlineLevel="0" collapsed="false">
      <c r="A621" s="217"/>
      <c r="B621" s="217"/>
      <c r="C621" s="217"/>
      <c r="D621" s="218"/>
      <c r="E621" s="219"/>
      <c r="F621" s="220"/>
      <c r="G621" s="221"/>
      <c r="H621" s="221"/>
      <c r="I621" s="222"/>
      <c r="J621" s="222"/>
      <c r="K621" s="222"/>
      <c r="L621" s="222"/>
      <c r="M621" s="222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customFormat="false" ht="14.25" hidden="false" customHeight="true" outlineLevel="0" collapsed="false">
      <c r="A622" s="217"/>
      <c r="B622" s="217"/>
      <c r="C622" s="217"/>
      <c r="D622" s="218"/>
      <c r="E622" s="219"/>
      <c r="F622" s="220"/>
      <c r="G622" s="221"/>
      <c r="H622" s="221"/>
      <c r="I622" s="222"/>
      <c r="J622" s="222"/>
      <c r="K622" s="222"/>
      <c r="L622" s="222"/>
      <c r="M622" s="222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customFormat="false" ht="14.25" hidden="false" customHeight="true" outlineLevel="0" collapsed="false">
      <c r="A623" s="217"/>
      <c r="B623" s="217"/>
      <c r="C623" s="217"/>
      <c r="D623" s="218"/>
      <c r="E623" s="219"/>
      <c r="F623" s="220"/>
      <c r="G623" s="221"/>
      <c r="H623" s="221"/>
      <c r="I623" s="222"/>
      <c r="J623" s="222"/>
      <c r="K623" s="222"/>
      <c r="L623" s="222"/>
      <c r="M623" s="222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customFormat="false" ht="14.25" hidden="false" customHeight="true" outlineLevel="0" collapsed="false">
      <c r="A624" s="217"/>
      <c r="B624" s="217"/>
      <c r="C624" s="217"/>
      <c r="D624" s="218"/>
      <c r="E624" s="219"/>
      <c r="F624" s="220"/>
      <c r="G624" s="221"/>
      <c r="H624" s="221"/>
      <c r="I624" s="222"/>
      <c r="J624" s="222"/>
      <c r="K624" s="222"/>
      <c r="L624" s="222"/>
      <c r="M624" s="222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customFormat="false" ht="14.25" hidden="false" customHeight="true" outlineLevel="0" collapsed="false">
      <c r="A625" s="217"/>
      <c r="B625" s="217"/>
      <c r="C625" s="217"/>
      <c r="D625" s="218"/>
      <c r="E625" s="219"/>
      <c r="F625" s="220"/>
      <c r="G625" s="221"/>
      <c r="H625" s="221"/>
      <c r="I625" s="222"/>
      <c r="J625" s="222"/>
      <c r="K625" s="222"/>
      <c r="L625" s="222"/>
      <c r="M625" s="222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customFormat="false" ht="14.25" hidden="false" customHeight="true" outlineLevel="0" collapsed="false">
      <c r="A626" s="217"/>
      <c r="B626" s="217"/>
      <c r="C626" s="217"/>
      <c r="D626" s="218"/>
      <c r="E626" s="219"/>
      <c r="F626" s="220"/>
      <c r="G626" s="221"/>
      <c r="H626" s="221"/>
      <c r="I626" s="222"/>
      <c r="J626" s="222"/>
      <c r="K626" s="222"/>
      <c r="L626" s="222"/>
      <c r="M626" s="222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customFormat="false" ht="14.25" hidden="false" customHeight="true" outlineLevel="0" collapsed="false">
      <c r="A627" s="217"/>
      <c r="B627" s="217"/>
      <c r="C627" s="217"/>
      <c r="D627" s="218"/>
      <c r="E627" s="219"/>
      <c r="F627" s="220"/>
      <c r="G627" s="221"/>
      <c r="H627" s="221"/>
      <c r="I627" s="222"/>
      <c r="J627" s="222"/>
      <c r="K627" s="222"/>
      <c r="L627" s="222"/>
      <c r="M627" s="222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customFormat="false" ht="14.25" hidden="false" customHeight="true" outlineLevel="0" collapsed="false">
      <c r="A628" s="217"/>
      <c r="B628" s="217"/>
      <c r="C628" s="217"/>
      <c r="D628" s="218"/>
      <c r="E628" s="219"/>
      <c r="F628" s="220"/>
      <c r="G628" s="221"/>
      <c r="H628" s="221"/>
      <c r="I628" s="222"/>
      <c r="J628" s="222"/>
      <c r="K628" s="222"/>
      <c r="L628" s="222"/>
      <c r="M628" s="222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customFormat="false" ht="14.25" hidden="false" customHeight="true" outlineLevel="0" collapsed="false">
      <c r="A629" s="217"/>
      <c r="B629" s="217"/>
      <c r="C629" s="217"/>
      <c r="D629" s="218"/>
      <c r="E629" s="219"/>
      <c r="F629" s="220"/>
      <c r="G629" s="221"/>
      <c r="H629" s="221"/>
      <c r="I629" s="222"/>
      <c r="J629" s="222"/>
      <c r="K629" s="222"/>
      <c r="L629" s="222"/>
      <c r="M629" s="222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customFormat="false" ht="14.25" hidden="false" customHeight="true" outlineLevel="0" collapsed="false">
      <c r="A630" s="217"/>
      <c r="B630" s="217"/>
      <c r="C630" s="217"/>
      <c r="D630" s="218"/>
      <c r="E630" s="219"/>
      <c r="F630" s="220"/>
      <c r="G630" s="221"/>
      <c r="H630" s="221"/>
      <c r="I630" s="222"/>
      <c r="J630" s="222"/>
      <c r="K630" s="222"/>
      <c r="L630" s="222"/>
      <c r="M630" s="222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customFormat="false" ht="14.25" hidden="false" customHeight="true" outlineLevel="0" collapsed="false">
      <c r="A631" s="217"/>
      <c r="B631" s="217"/>
      <c r="C631" s="217"/>
      <c r="D631" s="218"/>
      <c r="E631" s="219"/>
      <c r="F631" s="220"/>
      <c r="G631" s="221"/>
      <c r="H631" s="221"/>
      <c r="I631" s="222"/>
      <c r="J631" s="222"/>
      <c r="K631" s="222"/>
      <c r="L631" s="222"/>
      <c r="M631" s="222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customFormat="false" ht="14.25" hidden="false" customHeight="true" outlineLevel="0" collapsed="false">
      <c r="A632" s="217"/>
      <c r="B632" s="217"/>
      <c r="C632" s="217"/>
      <c r="D632" s="218"/>
      <c r="E632" s="219"/>
      <c r="F632" s="220"/>
      <c r="G632" s="221"/>
      <c r="H632" s="221"/>
      <c r="I632" s="222"/>
      <c r="J632" s="222"/>
      <c r="K632" s="222"/>
      <c r="L632" s="222"/>
      <c r="M632" s="222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customFormat="false" ht="14.25" hidden="false" customHeight="true" outlineLevel="0" collapsed="false">
      <c r="A633" s="217"/>
      <c r="B633" s="217"/>
      <c r="C633" s="217"/>
      <c r="D633" s="218"/>
      <c r="E633" s="219"/>
      <c r="F633" s="220"/>
      <c r="G633" s="221"/>
      <c r="H633" s="221"/>
      <c r="I633" s="222"/>
      <c r="J633" s="222"/>
      <c r="K633" s="222"/>
      <c r="L633" s="222"/>
      <c r="M633" s="222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customFormat="false" ht="14.25" hidden="false" customHeight="true" outlineLevel="0" collapsed="false">
      <c r="A634" s="217"/>
      <c r="B634" s="217"/>
      <c r="C634" s="217"/>
      <c r="D634" s="218"/>
      <c r="E634" s="219"/>
      <c r="F634" s="220"/>
      <c r="G634" s="221"/>
      <c r="H634" s="221"/>
      <c r="I634" s="222"/>
      <c r="J634" s="222"/>
      <c r="K634" s="222"/>
      <c r="L634" s="222"/>
      <c r="M634" s="222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customFormat="false" ht="14.25" hidden="false" customHeight="true" outlineLevel="0" collapsed="false">
      <c r="A635" s="217"/>
      <c r="B635" s="217"/>
      <c r="C635" s="217"/>
      <c r="D635" s="218"/>
      <c r="E635" s="219"/>
      <c r="F635" s="220"/>
      <c r="G635" s="221"/>
      <c r="H635" s="221"/>
      <c r="I635" s="222"/>
      <c r="J635" s="222"/>
      <c r="K635" s="222"/>
      <c r="L635" s="222"/>
      <c r="M635" s="222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customFormat="false" ht="14.25" hidden="false" customHeight="true" outlineLevel="0" collapsed="false">
      <c r="A636" s="217"/>
      <c r="B636" s="217"/>
      <c r="C636" s="217"/>
      <c r="D636" s="218"/>
      <c r="E636" s="219"/>
      <c r="F636" s="220"/>
      <c r="G636" s="221"/>
      <c r="H636" s="221"/>
      <c r="I636" s="222"/>
      <c r="J636" s="222"/>
      <c r="K636" s="222"/>
      <c r="L636" s="222"/>
      <c r="M636" s="222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customFormat="false" ht="14.25" hidden="false" customHeight="true" outlineLevel="0" collapsed="false">
      <c r="A637" s="217"/>
      <c r="B637" s="217"/>
      <c r="C637" s="217"/>
      <c r="D637" s="218"/>
      <c r="E637" s="219"/>
      <c r="F637" s="220"/>
      <c r="G637" s="221"/>
      <c r="H637" s="221"/>
      <c r="I637" s="222"/>
      <c r="J637" s="222"/>
      <c r="K637" s="222"/>
      <c r="L637" s="222"/>
      <c r="M637" s="222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customFormat="false" ht="14.25" hidden="false" customHeight="true" outlineLevel="0" collapsed="false">
      <c r="A638" s="217"/>
      <c r="B638" s="217"/>
      <c r="C638" s="217"/>
      <c r="D638" s="218"/>
      <c r="E638" s="219"/>
      <c r="F638" s="220"/>
      <c r="G638" s="221"/>
      <c r="H638" s="221"/>
      <c r="I638" s="222"/>
      <c r="J638" s="222"/>
      <c r="K638" s="222"/>
      <c r="L638" s="222"/>
      <c r="M638" s="222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customFormat="false" ht="14.25" hidden="false" customHeight="true" outlineLevel="0" collapsed="false">
      <c r="A639" s="217"/>
      <c r="B639" s="217"/>
      <c r="C639" s="217"/>
      <c r="D639" s="218"/>
      <c r="E639" s="219"/>
      <c r="F639" s="220"/>
      <c r="G639" s="221"/>
      <c r="H639" s="221"/>
      <c r="I639" s="222"/>
      <c r="J639" s="222"/>
      <c r="K639" s="222"/>
      <c r="L639" s="222"/>
      <c r="M639" s="222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customFormat="false" ht="14.25" hidden="false" customHeight="true" outlineLevel="0" collapsed="false">
      <c r="A640" s="217"/>
      <c r="B640" s="217"/>
      <c r="C640" s="217"/>
      <c r="D640" s="218"/>
      <c r="E640" s="219"/>
      <c r="F640" s="220"/>
      <c r="G640" s="221"/>
      <c r="H640" s="221"/>
      <c r="I640" s="222"/>
      <c r="J640" s="222"/>
      <c r="K640" s="222"/>
      <c r="L640" s="222"/>
      <c r="M640" s="222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customFormat="false" ht="14.25" hidden="false" customHeight="true" outlineLevel="0" collapsed="false">
      <c r="A641" s="217"/>
      <c r="B641" s="217"/>
      <c r="C641" s="217"/>
      <c r="D641" s="218"/>
      <c r="E641" s="219"/>
      <c r="F641" s="220"/>
      <c r="G641" s="221"/>
      <c r="H641" s="221"/>
      <c r="I641" s="222"/>
      <c r="J641" s="222"/>
      <c r="K641" s="222"/>
      <c r="L641" s="222"/>
      <c r="M641" s="222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customFormat="false" ht="14.25" hidden="false" customHeight="true" outlineLevel="0" collapsed="false">
      <c r="A642" s="217"/>
      <c r="B642" s="217"/>
      <c r="C642" s="217"/>
      <c r="D642" s="218"/>
      <c r="E642" s="219"/>
      <c r="F642" s="220"/>
      <c r="G642" s="221"/>
      <c r="H642" s="221"/>
      <c r="I642" s="222"/>
      <c r="J642" s="222"/>
      <c r="K642" s="222"/>
      <c r="L642" s="222"/>
      <c r="M642" s="222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customFormat="false" ht="14.25" hidden="false" customHeight="true" outlineLevel="0" collapsed="false">
      <c r="A643" s="217"/>
      <c r="B643" s="217"/>
      <c r="C643" s="217"/>
      <c r="D643" s="218"/>
      <c r="E643" s="219"/>
      <c r="F643" s="220"/>
      <c r="G643" s="221"/>
      <c r="H643" s="221"/>
      <c r="I643" s="222"/>
      <c r="J643" s="222"/>
      <c r="K643" s="222"/>
      <c r="L643" s="222"/>
      <c r="M643" s="222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customFormat="false" ht="14.25" hidden="false" customHeight="true" outlineLevel="0" collapsed="false">
      <c r="A644" s="217"/>
      <c r="B644" s="217"/>
      <c r="C644" s="217"/>
      <c r="D644" s="218"/>
      <c r="E644" s="219"/>
      <c r="F644" s="220"/>
      <c r="G644" s="221"/>
      <c r="H644" s="221"/>
      <c r="I644" s="222"/>
      <c r="J644" s="222"/>
      <c r="K644" s="222"/>
      <c r="L644" s="222"/>
      <c r="M644" s="222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customFormat="false" ht="14.25" hidden="false" customHeight="true" outlineLevel="0" collapsed="false">
      <c r="A645" s="217"/>
      <c r="B645" s="217"/>
      <c r="C645" s="217"/>
      <c r="D645" s="218"/>
      <c r="E645" s="219"/>
      <c r="F645" s="220"/>
      <c r="G645" s="221"/>
      <c r="H645" s="221"/>
      <c r="I645" s="222"/>
      <c r="J645" s="222"/>
      <c r="K645" s="222"/>
      <c r="L645" s="222"/>
      <c r="M645" s="222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customFormat="false" ht="14.25" hidden="false" customHeight="true" outlineLevel="0" collapsed="false">
      <c r="A646" s="217"/>
      <c r="B646" s="217"/>
      <c r="C646" s="217"/>
      <c r="D646" s="218"/>
      <c r="E646" s="219"/>
      <c r="F646" s="220"/>
      <c r="G646" s="221"/>
      <c r="H646" s="221"/>
      <c r="I646" s="222"/>
      <c r="J646" s="222"/>
      <c r="K646" s="222"/>
      <c r="L646" s="222"/>
      <c r="M646" s="222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customFormat="false" ht="14.25" hidden="false" customHeight="true" outlineLevel="0" collapsed="false">
      <c r="A647" s="217"/>
      <c r="B647" s="217"/>
      <c r="C647" s="217"/>
      <c r="D647" s="218"/>
      <c r="E647" s="219"/>
      <c r="F647" s="220"/>
      <c r="G647" s="221"/>
      <c r="H647" s="221"/>
      <c r="I647" s="222"/>
      <c r="J647" s="222"/>
      <c r="K647" s="222"/>
      <c r="L647" s="222"/>
      <c r="M647" s="222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customFormat="false" ht="14.25" hidden="false" customHeight="true" outlineLevel="0" collapsed="false">
      <c r="A648" s="217"/>
      <c r="B648" s="217"/>
      <c r="C648" s="217"/>
      <c r="D648" s="218"/>
      <c r="E648" s="219"/>
      <c r="F648" s="220"/>
      <c r="G648" s="221"/>
      <c r="H648" s="221"/>
      <c r="I648" s="222"/>
      <c r="J648" s="222"/>
      <c r="K648" s="222"/>
      <c r="L648" s="222"/>
      <c r="M648" s="222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customFormat="false" ht="14.25" hidden="false" customHeight="true" outlineLevel="0" collapsed="false">
      <c r="A649" s="217"/>
      <c r="B649" s="217"/>
      <c r="C649" s="217"/>
      <c r="D649" s="218"/>
      <c r="E649" s="219"/>
      <c r="F649" s="220"/>
      <c r="G649" s="221"/>
      <c r="H649" s="221"/>
      <c r="I649" s="222"/>
      <c r="J649" s="222"/>
      <c r="K649" s="222"/>
      <c r="L649" s="222"/>
      <c r="M649" s="222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customFormat="false" ht="14.25" hidden="false" customHeight="true" outlineLevel="0" collapsed="false">
      <c r="A650" s="217"/>
      <c r="B650" s="217"/>
      <c r="C650" s="217"/>
      <c r="D650" s="218"/>
      <c r="E650" s="219"/>
      <c r="F650" s="220"/>
      <c r="G650" s="221"/>
      <c r="H650" s="221"/>
      <c r="I650" s="222"/>
      <c r="J650" s="222"/>
      <c r="K650" s="222"/>
      <c r="L650" s="222"/>
      <c r="M650" s="222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customFormat="false" ht="14.25" hidden="false" customHeight="true" outlineLevel="0" collapsed="false">
      <c r="A651" s="217"/>
      <c r="B651" s="217"/>
      <c r="C651" s="217"/>
      <c r="D651" s="218"/>
      <c r="E651" s="219"/>
      <c r="F651" s="220"/>
      <c r="G651" s="221"/>
      <c r="H651" s="221"/>
      <c r="I651" s="222"/>
      <c r="J651" s="222"/>
      <c r="K651" s="222"/>
      <c r="L651" s="222"/>
      <c r="M651" s="222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customFormat="false" ht="14.25" hidden="false" customHeight="true" outlineLevel="0" collapsed="false">
      <c r="A652" s="217"/>
      <c r="B652" s="217"/>
      <c r="C652" s="217"/>
      <c r="D652" s="218"/>
      <c r="E652" s="219"/>
      <c r="F652" s="220"/>
      <c r="G652" s="221"/>
      <c r="H652" s="221"/>
      <c r="I652" s="222"/>
      <c r="J652" s="222"/>
      <c r="K652" s="222"/>
      <c r="L652" s="222"/>
      <c r="M652" s="222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customFormat="false" ht="14.25" hidden="false" customHeight="true" outlineLevel="0" collapsed="false">
      <c r="A653" s="217"/>
      <c r="B653" s="217"/>
      <c r="C653" s="217"/>
      <c r="D653" s="218"/>
      <c r="E653" s="219"/>
      <c r="F653" s="220"/>
      <c r="G653" s="221"/>
      <c r="H653" s="221"/>
      <c r="I653" s="222"/>
      <c r="J653" s="222"/>
      <c r="K653" s="222"/>
      <c r="L653" s="222"/>
      <c r="M653" s="222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customFormat="false" ht="14.25" hidden="false" customHeight="true" outlineLevel="0" collapsed="false">
      <c r="A654" s="217"/>
      <c r="B654" s="217"/>
      <c r="C654" s="217"/>
      <c r="D654" s="218"/>
      <c r="E654" s="219"/>
      <c r="F654" s="220"/>
      <c r="G654" s="221"/>
      <c r="H654" s="221"/>
      <c r="I654" s="222"/>
      <c r="J654" s="222"/>
      <c r="K654" s="222"/>
      <c r="L654" s="222"/>
      <c r="M654" s="222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customFormat="false" ht="14.25" hidden="false" customHeight="true" outlineLevel="0" collapsed="false">
      <c r="A655" s="217"/>
      <c r="B655" s="217"/>
      <c r="C655" s="217"/>
      <c r="D655" s="218"/>
      <c r="E655" s="219"/>
      <c r="F655" s="220"/>
      <c r="G655" s="221"/>
      <c r="H655" s="221"/>
      <c r="I655" s="222"/>
      <c r="J655" s="222"/>
      <c r="K655" s="222"/>
      <c r="L655" s="222"/>
      <c r="M655" s="222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customFormat="false" ht="14.25" hidden="false" customHeight="true" outlineLevel="0" collapsed="false">
      <c r="A656" s="217"/>
      <c r="B656" s="217"/>
      <c r="C656" s="217"/>
      <c r="D656" s="218"/>
      <c r="E656" s="219"/>
      <c r="F656" s="220"/>
      <c r="G656" s="221"/>
      <c r="H656" s="221"/>
      <c r="I656" s="222"/>
      <c r="J656" s="222"/>
      <c r="K656" s="222"/>
      <c r="L656" s="222"/>
      <c r="M656" s="222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customFormat="false" ht="14.25" hidden="false" customHeight="true" outlineLevel="0" collapsed="false">
      <c r="A657" s="217"/>
      <c r="B657" s="217"/>
      <c r="C657" s="217"/>
      <c r="D657" s="218"/>
      <c r="E657" s="219"/>
      <c r="F657" s="220"/>
      <c r="G657" s="221"/>
      <c r="H657" s="221"/>
      <c r="I657" s="222"/>
      <c r="J657" s="222"/>
      <c r="K657" s="222"/>
      <c r="L657" s="222"/>
      <c r="M657" s="222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customFormat="false" ht="14.25" hidden="false" customHeight="true" outlineLevel="0" collapsed="false">
      <c r="A658" s="217"/>
      <c r="B658" s="217"/>
      <c r="C658" s="217"/>
      <c r="D658" s="218"/>
      <c r="E658" s="219"/>
      <c r="F658" s="220"/>
      <c r="G658" s="221"/>
      <c r="H658" s="221"/>
      <c r="I658" s="222"/>
      <c r="J658" s="222"/>
      <c r="K658" s="222"/>
      <c r="L658" s="222"/>
      <c r="M658" s="222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customFormat="false" ht="14.25" hidden="false" customHeight="true" outlineLevel="0" collapsed="false">
      <c r="A659" s="217"/>
      <c r="B659" s="217"/>
      <c r="C659" s="217"/>
      <c r="D659" s="218"/>
      <c r="E659" s="219"/>
      <c r="F659" s="220"/>
      <c r="G659" s="221"/>
      <c r="H659" s="221"/>
      <c r="I659" s="222"/>
      <c r="J659" s="222"/>
      <c r="K659" s="222"/>
      <c r="L659" s="222"/>
      <c r="M659" s="222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customFormat="false" ht="14.25" hidden="false" customHeight="true" outlineLevel="0" collapsed="false">
      <c r="A660" s="217"/>
      <c r="B660" s="217"/>
      <c r="C660" s="217"/>
      <c r="D660" s="218"/>
      <c r="E660" s="219"/>
      <c r="F660" s="220"/>
      <c r="G660" s="221"/>
      <c r="H660" s="221"/>
      <c r="I660" s="222"/>
      <c r="J660" s="222"/>
      <c r="K660" s="222"/>
      <c r="L660" s="222"/>
      <c r="M660" s="222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customFormat="false" ht="14.25" hidden="false" customHeight="true" outlineLevel="0" collapsed="false">
      <c r="A661" s="217"/>
      <c r="B661" s="217"/>
      <c r="C661" s="217"/>
      <c r="D661" s="218"/>
      <c r="E661" s="219"/>
      <c r="F661" s="220"/>
      <c r="G661" s="221"/>
      <c r="H661" s="221"/>
      <c r="I661" s="222"/>
      <c r="J661" s="222"/>
      <c r="K661" s="222"/>
      <c r="L661" s="222"/>
      <c r="M661" s="222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customFormat="false" ht="14.25" hidden="false" customHeight="true" outlineLevel="0" collapsed="false">
      <c r="A662" s="217"/>
      <c r="B662" s="217"/>
      <c r="C662" s="217"/>
      <c r="D662" s="218"/>
      <c r="E662" s="219"/>
      <c r="F662" s="220"/>
      <c r="G662" s="221"/>
      <c r="H662" s="221"/>
      <c r="I662" s="222"/>
      <c r="J662" s="222"/>
      <c r="K662" s="222"/>
      <c r="L662" s="222"/>
      <c r="M662" s="222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customFormat="false" ht="14.25" hidden="false" customHeight="true" outlineLevel="0" collapsed="false">
      <c r="A663" s="217"/>
      <c r="B663" s="217"/>
      <c r="C663" s="217"/>
      <c r="D663" s="218"/>
      <c r="E663" s="219"/>
      <c r="F663" s="220"/>
      <c r="G663" s="221"/>
      <c r="H663" s="221"/>
      <c r="I663" s="222"/>
      <c r="J663" s="222"/>
      <c r="K663" s="222"/>
      <c r="L663" s="222"/>
      <c r="M663" s="222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customFormat="false" ht="14.25" hidden="false" customHeight="true" outlineLevel="0" collapsed="false">
      <c r="A664" s="217"/>
      <c r="B664" s="217"/>
      <c r="C664" s="217"/>
      <c r="D664" s="218"/>
      <c r="E664" s="219"/>
      <c r="F664" s="220"/>
      <c r="G664" s="221"/>
      <c r="H664" s="221"/>
      <c r="I664" s="222"/>
      <c r="J664" s="222"/>
      <c r="K664" s="222"/>
      <c r="L664" s="222"/>
      <c r="M664" s="222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customFormat="false" ht="14.25" hidden="false" customHeight="true" outlineLevel="0" collapsed="false">
      <c r="A665" s="217"/>
      <c r="B665" s="217"/>
      <c r="C665" s="217"/>
      <c r="D665" s="218"/>
      <c r="E665" s="219"/>
      <c r="F665" s="220"/>
      <c r="G665" s="221"/>
      <c r="H665" s="221"/>
      <c r="I665" s="222"/>
      <c r="J665" s="222"/>
      <c r="K665" s="222"/>
      <c r="L665" s="222"/>
      <c r="M665" s="222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customFormat="false" ht="14.25" hidden="false" customHeight="true" outlineLevel="0" collapsed="false">
      <c r="A666" s="217"/>
      <c r="B666" s="217"/>
      <c r="C666" s="217"/>
      <c r="D666" s="218"/>
      <c r="E666" s="219"/>
      <c r="F666" s="220"/>
      <c r="G666" s="221"/>
      <c r="H666" s="221"/>
      <c r="I666" s="222"/>
      <c r="J666" s="222"/>
      <c r="K666" s="222"/>
      <c r="L666" s="222"/>
      <c r="M666" s="222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customFormat="false" ht="14.25" hidden="false" customHeight="true" outlineLevel="0" collapsed="false">
      <c r="A667" s="217"/>
      <c r="B667" s="217"/>
      <c r="C667" s="217"/>
      <c r="D667" s="218"/>
      <c r="E667" s="219"/>
      <c r="F667" s="220"/>
      <c r="G667" s="221"/>
      <c r="H667" s="221"/>
      <c r="I667" s="222"/>
      <c r="J667" s="222"/>
      <c r="K667" s="222"/>
      <c r="L667" s="222"/>
      <c r="M667" s="222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customFormat="false" ht="14.25" hidden="false" customHeight="true" outlineLevel="0" collapsed="false">
      <c r="A668" s="217"/>
      <c r="B668" s="217"/>
      <c r="C668" s="217"/>
      <c r="D668" s="218"/>
      <c r="E668" s="219"/>
      <c r="F668" s="220"/>
      <c r="G668" s="221"/>
      <c r="H668" s="221"/>
      <c r="I668" s="222"/>
      <c r="J668" s="222"/>
      <c r="K668" s="222"/>
      <c r="L668" s="222"/>
      <c r="M668" s="222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customFormat="false" ht="14.25" hidden="false" customHeight="true" outlineLevel="0" collapsed="false">
      <c r="A669" s="217"/>
      <c r="B669" s="217"/>
      <c r="C669" s="217"/>
      <c r="D669" s="218"/>
      <c r="E669" s="219"/>
      <c r="F669" s="220"/>
      <c r="G669" s="221"/>
      <c r="H669" s="221"/>
      <c r="I669" s="222"/>
      <c r="J669" s="222"/>
      <c r="K669" s="222"/>
      <c r="L669" s="222"/>
      <c r="M669" s="222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customFormat="false" ht="14.25" hidden="false" customHeight="true" outlineLevel="0" collapsed="false">
      <c r="A670" s="217"/>
      <c r="B670" s="217"/>
      <c r="C670" s="217"/>
      <c r="D670" s="218"/>
      <c r="E670" s="219"/>
      <c r="F670" s="220"/>
      <c r="G670" s="221"/>
      <c r="H670" s="221"/>
      <c r="I670" s="222"/>
      <c r="J670" s="222"/>
      <c r="K670" s="222"/>
      <c r="L670" s="222"/>
      <c r="M670" s="222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customFormat="false" ht="14.25" hidden="false" customHeight="true" outlineLevel="0" collapsed="false">
      <c r="A671" s="217"/>
      <c r="B671" s="217"/>
      <c r="C671" s="217"/>
      <c r="D671" s="218"/>
      <c r="E671" s="219"/>
      <c r="F671" s="220"/>
      <c r="G671" s="221"/>
      <c r="H671" s="221"/>
      <c r="I671" s="222"/>
      <c r="J671" s="222"/>
      <c r="K671" s="222"/>
      <c r="L671" s="222"/>
      <c r="M671" s="222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customFormat="false" ht="14.25" hidden="false" customHeight="true" outlineLevel="0" collapsed="false">
      <c r="A672" s="217"/>
      <c r="B672" s="217"/>
      <c r="C672" s="217"/>
      <c r="D672" s="218"/>
      <c r="E672" s="219"/>
      <c r="F672" s="220"/>
      <c r="G672" s="221"/>
      <c r="H672" s="221"/>
      <c r="I672" s="222"/>
      <c r="J672" s="222"/>
      <c r="K672" s="222"/>
      <c r="L672" s="222"/>
      <c r="M672" s="222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customFormat="false" ht="14.25" hidden="false" customHeight="true" outlineLevel="0" collapsed="false">
      <c r="A673" s="217"/>
      <c r="B673" s="217"/>
      <c r="C673" s="217"/>
      <c r="D673" s="218"/>
      <c r="E673" s="219"/>
      <c r="F673" s="220"/>
      <c r="G673" s="221"/>
      <c r="H673" s="221"/>
      <c r="I673" s="222"/>
      <c r="J673" s="222"/>
      <c r="K673" s="222"/>
      <c r="L673" s="222"/>
      <c r="M673" s="222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customFormat="false" ht="14.25" hidden="false" customHeight="true" outlineLevel="0" collapsed="false">
      <c r="A674" s="217"/>
      <c r="B674" s="217"/>
      <c r="C674" s="217"/>
      <c r="D674" s="218"/>
      <c r="E674" s="219"/>
      <c r="F674" s="220"/>
      <c r="G674" s="221"/>
      <c r="H674" s="221"/>
      <c r="I674" s="222"/>
      <c r="J674" s="222"/>
      <c r="K674" s="222"/>
      <c r="L674" s="222"/>
      <c r="M674" s="222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customFormat="false" ht="14.25" hidden="false" customHeight="true" outlineLevel="0" collapsed="false">
      <c r="A675" s="217"/>
      <c r="B675" s="217"/>
      <c r="C675" s="217"/>
      <c r="D675" s="218"/>
      <c r="E675" s="219"/>
      <c r="F675" s="220"/>
      <c r="G675" s="221"/>
      <c r="H675" s="221"/>
      <c r="I675" s="222"/>
      <c r="J675" s="222"/>
      <c r="K675" s="222"/>
      <c r="L675" s="222"/>
      <c r="M675" s="222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customFormat="false" ht="14.25" hidden="false" customHeight="true" outlineLevel="0" collapsed="false">
      <c r="A676" s="217"/>
      <c r="B676" s="217"/>
      <c r="C676" s="217"/>
      <c r="D676" s="218"/>
      <c r="E676" s="219"/>
      <c r="F676" s="220"/>
      <c r="G676" s="221"/>
      <c r="H676" s="221"/>
      <c r="I676" s="222"/>
      <c r="J676" s="222"/>
      <c r="K676" s="222"/>
      <c r="L676" s="222"/>
      <c r="M676" s="222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customFormat="false" ht="14.25" hidden="false" customHeight="true" outlineLevel="0" collapsed="false">
      <c r="A677" s="217"/>
      <c r="B677" s="217"/>
      <c r="C677" s="217"/>
      <c r="D677" s="218"/>
      <c r="E677" s="219"/>
      <c r="F677" s="220"/>
      <c r="G677" s="221"/>
      <c r="H677" s="221"/>
      <c r="I677" s="222"/>
      <c r="J677" s="222"/>
      <c r="K677" s="222"/>
      <c r="L677" s="222"/>
      <c r="M677" s="222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customFormat="false" ht="14.25" hidden="false" customHeight="true" outlineLevel="0" collapsed="false">
      <c r="A678" s="217"/>
      <c r="B678" s="217"/>
      <c r="C678" s="217"/>
      <c r="D678" s="218"/>
      <c r="E678" s="219"/>
      <c r="F678" s="220"/>
      <c r="G678" s="221"/>
      <c r="H678" s="221"/>
      <c r="I678" s="222"/>
      <c r="J678" s="222"/>
      <c r="K678" s="222"/>
      <c r="L678" s="222"/>
      <c r="M678" s="222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customFormat="false" ht="14.25" hidden="false" customHeight="true" outlineLevel="0" collapsed="false">
      <c r="A679" s="217"/>
      <c r="B679" s="217"/>
      <c r="C679" s="217"/>
      <c r="D679" s="218"/>
      <c r="E679" s="219"/>
      <c r="F679" s="220"/>
      <c r="G679" s="221"/>
      <c r="H679" s="221"/>
      <c r="I679" s="222"/>
      <c r="J679" s="222"/>
      <c r="K679" s="222"/>
      <c r="L679" s="222"/>
      <c r="M679" s="222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customFormat="false" ht="14.25" hidden="false" customHeight="true" outlineLevel="0" collapsed="false">
      <c r="A680" s="217"/>
      <c r="B680" s="217"/>
      <c r="C680" s="217"/>
      <c r="D680" s="218"/>
      <c r="E680" s="219"/>
      <c r="F680" s="220"/>
      <c r="G680" s="221"/>
      <c r="H680" s="221"/>
      <c r="I680" s="222"/>
      <c r="J680" s="222"/>
      <c r="K680" s="222"/>
      <c r="L680" s="222"/>
      <c r="M680" s="222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customFormat="false" ht="14.25" hidden="false" customHeight="true" outlineLevel="0" collapsed="false">
      <c r="A681" s="217"/>
      <c r="B681" s="217"/>
      <c r="C681" s="217"/>
      <c r="D681" s="218"/>
      <c r="E681" s="219"/>
      <c r="F681" s="220"/>
      <c r="G681" s="221"/>
      <c r="H681" s="221"/>
      <c r="I681" s="222"/>
      <c r="J681" s="222"/>
      <c r="K681" s="222"/>
      <c r="L681" s="222"/>
      <c r="M681" s="222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customFormat="false" ht="14.25" hidden="false" customHeight="true" outlineLevel="0" collapsed="false">
      <c r="A682" s="217"/>
      <c r="B682" s="217"/>
      <c r="C682" s="217"/>
      <c r="D682" s="218"/>
      <c r="E682" s="219"/>
      <c r="F682" s="220"/>
      <c r="G682" s="221"/>
      <c r="H682" s="221"/>
      <c r="I682" s="222"/>
      <c r="J682" s="222"/>
      <c r="K682" s="222"/>
      <c r="L682" s="222"/>
      <c r="M682" s="222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customFormat="false" ht="14.25" hidden="false" customHeight="true" outlineLevel="0" collapsed="false">
      <c r="A683" s="217"/>
      <c r="B683" s="217"/>
      <c r="C683" s="217"/>
      <c r="D683" s="218"/>
      <c r="E683" s="219"/>
      <c r="F683" s="220"/>
      <c r="G683" s="221"/>
      <c r="H683" s="221"/>
      <c r="I683" s="222"/>
      <c r="J683" s="222"/>
      <c r="K683" s="222"/>
      <c r="L683" s="222"/>
      <c r="M683" s="222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customFormat="false" ht="14.25" hidden="false" customHeight="true" outlineLevel="0" collapsed="false">
      <c r="A684" s="217"/>
      <c r="B684" s="217"/>
      <c r="C684" s="217"/>
      <c r="D684" s="218"/>
      <c r="E684" s="219"/>
      <c r="F684" s="220"/>
      <c r="G684" s="221"/>
      <c r="H684" s="221"/>
      <c r="I684" s="222"/>
      <c r="J684" s="222"/>
      <c r="K684" s="222"/>
      <c r="L684" s="222"/>
      <c r="M684" s="222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customFormat="false" ht="14.25" hidden="false" customHeight="true" outlineLevel="0" collapsed="false">
      <c r="A685" s="217"/>
      <c r="B685" s="217"/>
      <c r="C685" s="217"/>
      <c r="D685" s="218"/>
      <c r="E685" s="219"/>
      <c r="F685" s="220"/>
      <c r="G685" s="221"/>
      <c r="H685" s="221"/>
      <c r="I685" s="222"/>
      <c r="J685" s="222"/>
      <c r="K685" s="222"/>
      <c r="L685" s="222"/>
      <c r="M685" s="222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customFormat="false" ht="14.25" hidden="false" customHeight="true" outlineLevel="0" collapsed="false">
      <c r="A686" s="217"/>
      <c r="B686" s="217"/>
      <c r="C686" s="217"/>
      <c r="D686" s="218"/>
      <c r="E686" s="219"/>
      <c r="F686" s="220"/>
      <c r="G686" s="221"/>
      <c r="H686" s="221"/>
      <c r="I686" s="222"/>
      <c r="J686" s="222"/>
      <c r="K686" s="222"/>
      <c r="L686" s="222"/>
      <c r="M686" s="222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customFormat="false" ht="14.25" hidden="false" customHeight="true" outlineLevel="0" collapsed="false">
      <c r="A687" s="217"/>
      <c r="B687" s="217"/>
      <c r="C687" s="217"/>
      <c r="D687" s="218"/>
      <c r="E687" s="219"/>
      <c r="F687" s="220"/>
      <c r="G687" s="221"/>
      <c r="H687" s="221"/>
      <c r="I687" s="222"/>
      <c r="J687" s="222"/>
      <c r="K687" s="222"/>
      <c r="L687" s="222"/>
      <c r="M687" s="222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customFormat="false" ht="14.25" hidden="false" customHeight="true" outlineLevel="0" collapsed="false">
      <c r="A688" s="217"/>
      <c r="B688" s="217"/>
      <c r="C688" s="217"/>
      <c r="D688" s="218"/>
      <c r="E688" s="219"/>
      <c r="F688" s="220"/>
      <c r="G688" s="221"/>
      <c r="H688" s="221"/>
      <c r="I688" s="222"/>
      <c r="J688" s="222"/>
      <c r="K688" s="222"/>
      <c r="L688" s="222"/>
      <c r="M688" s="222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customFormat="false" ht="14.25" hidden="false" customHeight="true" outlineLevel="0" collapsed="false">
      <c r="A689" s="217"/>
      <c r="B689" s="217"/>
      <c r="C689" s="217"/>
      <c r="D689" s="218"/>
      <c r="E689" s="219"/>
      <c r="F689" s="220"/>
      <c r="G689" s="221"/>
      <c r="H689" s="221"/>
      <c r="I689" s="222"/>
      <c r="J689" s="222"/>
      <c r="K689" s="222"/>
      <c r="L689" s="222"/>
      <c r="M689" s="222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customFormat="false" ht="14.25" hidden="false" customHeight="true" outlineLevel="0" collapsed="false">
      <c r="A690" s="217"/>
      <c r="B690" s="217"/>
      <c r="C690" s="217"/>
      <c r="D690" s="218"/>
      <c r="E690" s="219"/>
      <c r="F690" s="220"/>
      <c r="G690" s="221"/>
      <c r="H690" s="221"/>
      <c r="I690" s="222"/>
      <c r="J690" s="222"/>
      <c r="K690" s="222"/>
      <c r="L690" s="222"/>
      <c r="M690" s="222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customFormat="false" ht="14.25" hidden="false" customHeight="true" outlineLevel="0" collapsed="false">
      <c r="A691" s="217"/>
      <c r="B691" s="217"/>
      <c r="C691" s="217"/>
      <c r="D691" s="218"/>
      <c r="E691" s="219"/>
      <c r="F691" s="220"/>
      <c r="G691" s="221"/>
      <c r="H691" s="221"/>
      <c r="I691" s="222"/>
      <c r="J691" s="222"/>
      <c r="K691" s="222"/>
      <c r="L691" s="222"/>
      <c r="M691" s="222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customFormat="false" ht="14.25" hidden="false" customHeight="true" outlineLevel="0" collapsed="false">
      <c r="A692" s="217"/>
      <c r="B692" s="217"/>
      <c r="C692" s="217"/>
      <c r="D692" s="218"/>
      <c r="E692" s="219"/>
      <c r="F692" s="220"/>
      <c r="G692" s="221"/>
      <c r="H692" s="221"/>
      <c r="I692" s="222"/>
      <c r="J692" s="222"/>
      <c r="K692" s="222"/>
      <c r="L692" s="222"/>
      <c r="M692" s="222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customFormat="false" ht="14.25" hidden="false" customHeight="true" outlineLevel="0" collapsed="false">
      <c r="A693" s="217"/>
      <c r="B693" s="217"/>
      <c r="C693" s="217"/>
      <c r="D693" s="218"/>
      <c r="E693" s="219"/>
      <c r="F693" s="220"/>
      <c r="G693" s="221"/>
      <c r="H693" s="221"/>
      <c r="I693" s="222"/>
      <c r="J693" s="222"/>
      <c r="K693" s="222"/>
      <c r="L693" s="222"/>
      <c r="M693" s="222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customFormat="false" ht="14.25" hidden="false" customHeight="true" outlineLevel="0" collapsed="false">
      <c r="A694" s="217"/>
      <c r="B694" s="217"/>
      <c r="C694" s="217"/>
      <c r="D694" s="218"/>
      <c r="E694" s="219"/>
      <c r="F694" s="220"/>
      <c r="G694" s="221"/>
      <c r="H694" s="221"/>
      <c r="I694" s="222"/>
      <c r="J694" s="222"/>
      <c r="K694" s="222"/>
      <c r="L694" s="222"/>
      <c r="M694" s="222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customFormat="false" ht="14.25" hidden="false" customHeight="true" outlineLevel="0" collapsed="false">
      <c r="A695" s="217"/>
      <c r="B695" s="217"/>
      <c r="C695" s="217"/>
      <c r="D695" s="218"/>
      <c r="E695" s="219"/>
      <c r="F695" s="220"/>
      <c r="G695" s="221"/>
      <c r="H695" s="221"/>
      <c r="I695" s="222"/>
      <c r="J695" s="222"/>
      <c r="K695" s="222"/>
      <c r="L695" s="222"/>
      <c r="M695" s="222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customFormat="false" ht="14.25" hidden="false" customHeight="true" outlineLevel="0" collapsed="false">
      <c r="A696" s="217"/>
      <c r="B696" s="217"/>
      <c r="C696" s="217"/>
      <c r="D696" s="218"/>
      <c r="E696" s="219"/>
      <c r="F696" s="220"/>
      <c r="G696" s="221"/>
      <c r="H696" s="221"/>
      <c r="I696" s="222"/>
      <c r="J696" s="222"/>
      <c r="K696" s="222"/>
      <c r="L696" s="222"/>
      <c r="M696" s="222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customFormat="false" ht="14.25" hidden="false" customHeight="true" outlineLevel="0" collapsed="false">
      <c r="A697" s="217"/>
      <c r="B697" s="217"/>
      <c r="C697" s="217"/>
      <c r="D697" s="218"/>
      <c r="E697" s="219"/>
      <c r="F697" s="220"/>
      <c r="G697" s="221"/>
      <c r="H697" s="221"/>
      <c r="I697" s="222"/>
      <c r="J697" s="222"/>
      <c r="K697" s="222"/>
      <c r="L697" s="222"/>
      <c r="M697" s="222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customFormat="false" ht="14.25" hidden="false" customHeight="true" outlineLevel="0" collapsed="false">
      <c r="A698" s="217"/>
      <c r="B698" s="217"/>
      <c r="C698" s="217"/>
      <c r="D698" s="218"/>
      <c r="E698" s="219"/>
      <c r="F698" s="220"/>
      <c r="G698" s="221"/>
      <c r="H698" s="221"/>
      <c r="I698" s="222"/>
      <c r="J698" s="222"/>
      <c r="K698" s="222"/>
      <c r="L698" s="222"/>
      <c r="M698" s="222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customFormat="false" ht="14.25" hidden="false" customHeight="true" outlineLevel="0" collapsed="false">
      <c r="A699" s="217"/>
      <c r="B699" s="217"/>
      <c r="C699" s="217"/>
      <c r="D699" s="218"/>
      <c r="E699" s="219"/>
      <c r="F699" s="220"/>
      <c r="G699" s="221"/>
      <c r="H699" s="221"/>
      <c r="I699" s="222"/>
      <c r="J699" s="222"/>
      <c r="K699" s="222"/>
      <c r="L699" s="222"/>
      <c r="M699" s="222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customFormat="false" ht="14.25" hidden="false" customHeight="true" outlineLevel="0" collapsed="false">
      <c r="A700" s="217"/>
      <c r="B700" s="217"/>
      <c r="C700" s="217"/>
      <c r="D700" s="218"/>
      <c r="E700" s="219"/>
      <c r="F700" s="220"/>
      <c r="G700" s="221"/>
      <c r="H700" s="221"/>
      <c r="I700" s="222"/>
      <c r="J700" s="222"/>
      <c r="K700" s="222"/>
      <c r="L700" s="222"/>
      <c r="M700" s="222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customFormat="false" ht="14.25" hidden="false" customHeight="true" outlineLevel="0" collapsed="false">
      <c r="A701" s="217"/>
      <c r="B701" s="217"/>
      <c r="C701" s="217"/>
      <c r="D701" s="218"/>
      <c r="E701" s="219"/>
      <c r="F701" s="220"/>
      <c r="G701" s="221"/>
      <c r="H701" s="221"/>
      <c r="I701" s="222"/>
      <c r="J701" s="222"/>
      <c r="K701" s="222"/>
      <c r="L701" s="222"/>
      <c r="M701" s="222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customFormat="false" ht="14.25" hidden="false" customHeight="true" outlineLevel="0" collapsed="false">
      <c r="A702" s="217"/>
      <c r="B702" s="217"/>
      <c r="C702" s="217"/>
      <c r="D702" s="218"/>
      <c r="E702" s="219"/>
      <c r="F702" s="220"/>
      <c r="G702" s="221"/>
      <c r="H702" s="221"/>
      <c r="I702" s="222"/>
      <c r="J702" s="222"/>
      <c r="K702" s="222"/>
      <c r="L702" s="222"/>
      <c r="M702" s="222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customFormat="false" ht="14.25" hidden="false" customHeight="true" outlineLevel="0" collapsed="false">
      <c r="A703" s="217"/>
      <c r="B703" s="217"/>
      <c r="C703" s="217"/>
      <c r="D703" s="218"/>
      <c r="E703" s="219"/>
      <c r="F703" s="220"/>
      <c r="G703" s="221"/>
      <c r="H703" s="221"/>
      <c r="I703" s="222"/>
      <c r="J703" s="222"/>
      <c r="K703" s="222"/>
      <c r="L703" s="222"/>
      <c r="M703" s="222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customFormat="false" ht="14.25" hidden="false" customHeight="true" outlineLevel="0" collapsed="false">
      <c r="A704" s="217"/>
      <c r="B704" s="217"/>
      <c r="C704" s="217"/>
      <c r="D704" s="218"/>
      <c r="E704" s="219"/>
      <c r="F704" s="220"/>
      <c r="G704" s="221"/>
      <c r="H704" s="221"/>
      <c r="I704" s="222"/>
      <c r="J704" s="222"/>
      <c r="K704" s="222"/>
      <c r="L704" s="222"/>
      <c r="M704" s="222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customFormat="false" ht="14.25" hidden="false" customHeight="true" outlineLevel="0" collapsed="false">
      <c r="A705" s="217"/>
      <c r="B705" s="217"/>
      <c r="C705" s="217"/>
      <c r="D705" s="218"/>
      <c r="E705" s="219"/>
      <c r="F705" s="220"/>
      <c r="G705" s="221"/>
      <c r="H705" s="221"/>
      <c r="I705" s="222"/>
      <c r="J705" s="222"/>
      <c r="K705" s="222"/>
      <c r="L705" s="222"/>
      <c r="M705" s="222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customFormat="false" ht="14.25" hidden="false" customHeight="true" outlineLevel="0" collapsed="false">
      <c r="A706" s="217"/>
      <c r="B706" s="217"/>
      <c r="C706" s="217"/>
      <c r="D706" s="218"/>
      <c r="E706" s="219"/>
      <c r="F706" s="220"/>
      <c r="G706" s="221"/>
      <c r="H706" s="221"/>
      <c r="I706" s="222"/>
      <c r="J706" s="222"/>
      <c r="K706" s="222"/>
      <c r="L706" s="222"/>
      <c r="M706" s="222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customFormat="false" ht="14.25" hidden="false" customHeight="true" outlineLevel="0" collapsed="false">
      <c r="A707" s="217"/>
      <c r="B707" s="217"/>
      <c r="C707" s="217"/>
      <c r="D707" s="218"/>
      <c r="E707" s="219"/>
      <c r="F707" s="220"/>
      <c r="G707" s="221"/>
      <c r="H707" s="221"/>
      <c r="I707" s="222"/>
      <c r="J707" s="222"/>
      <c r="K707" s="222"/>
      <c r="L707" s="222"/>
      <c r="M707" s="222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customFormat="false" ht="14.25" hidden="false" customHeight="true" outlineLevel="0" collapsed="false">
      <c r="A708" s="217"/>
      <c r="B708" s="217"/>
      <c r="C708" s="217"/>
      <c r="D708" s="218"/>
      <c r="E708" s="219"/>
      <c r="F708" s="220"/>
      <c r="G708" s="221"/>
      <c r="H708" s="221"/>
      <c r="I708" s="222"/>
      <c r="J708" s="222"/>
      <c r="K708" s="222"/>
      <c r="L708" s="222"/>
      <c r="M708" s="222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customFormat="false" ht="14.25" hidden="false" customHeight="true" outlineLevel="0" collapsed="false">
      <c r="A709" s="217"/>
      <c r="B709" s="217"/>
      <c r="C709" s="217"/>
      <c r="D709" s="218"/>
      <c r="E709" s="219"/>
      <c r="F709" s="220"/>
      <c r="G709" s="221"/>
      <c r="H709" s="221"/>
      <c r="I709" s="222"/>
      <c r="J709" s="222"/>
      <c r="K709" s="222"/>
      <c r="L709" s="222"/>
      <c r="M709" s="222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customFormat="false" ht="14.25" hidden="false" customHeight="true" outlineLevel="0" collapsed="false">
      <c r="A710" s="217"/>
      <c r="B710" s="217"/>
      <c r="C710" s="217"/>
      <c r="D710" s="218"/>
      <c r="E710" s="219"/>
      <c r="F710" s="220"/>
      <c r="G710" s="221"/>
      <c r="H710" s="221"/>
      <c r="I710" s="222"/>
      <c r="J710" s="222"/>
      <c r="K710" s="222"/>
      <c r="L710" s="222"/>
      <c r="M710" s="222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customFormat="false" ht="14.25" hidden="false" customHeight="true" outlineLevel="0" collapsed="false">
      <c r="A711" s="217"/>
      <c r="B711" s="217"/>
      <c r="C711" s="217"/>
      <c r="D711" s="218"/>
      <c r="E711" s="219"/>
      <c r="F711" s="220"/>
      <c r="G711" s="221"/>
      <c r="H711" s="221"/>
      <c r="I711" s="222"/>
      <c r="J711" s="222"/>
      <c r="K711" s="222"/>
      <c r="L711" s="222"/>
      <c r="M711" s="222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customFormat="false" ht="14.25" hidden="false" customHeight="true" outlineLevel="0" collapsed="false">
      <c r="A712" s="217"/>
      <c r="B712" s="217"/>
      <c r="C712" s="217"/>
      <c r="D712" s="218"/>
      <c r="E712" s="219"/>
      <c r="F712" s="220"/>
      <c r="G712" s="221"/>
      <c r="H712" s="221"/>
      <c r="I712" s="222"/>
      <c r="J712" s="222"/>
      <c r="K712" s="222"/>
      <c r="L712" s="222"/>
      <c r="M712" s="222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customFormat="false" ht="14.25" hidden="false" customHeight="true" outlineLevel="0" collapsed="false">
      <c r="A713" s="217"/>
      <c r="B713" s="217"/>
      <c r="C713" s="217"/>
      <c r="D713" s="218"/>
      <c r="E713" s="219"/>
      <c r="F713" s="220"/>
      <c r="G713" s="221"/>
      <c r="H713" s="221"/>
      <c r="I713" s="222"/>
      <c r="J713" s="222"/>
      <c r="K713" s="222"/>
      <c r="L713" s="222"/>
      <c r="M713" s="222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customFormat="false" ht="14.25" hidden="false" customHeight="true" outlineLevel="0" collapsed="false">
      <c r="A714" s="217"/>
      <c r="B714" s="217"/>
      <c r="C714" s="217"/>
      <c r="D714" s="218"/>
      <c r="E714" s="219"/>
      <c r="F714" s="220"/>
      <c r="G714" s="221"/>
      <c r="H714" s="221"/>
      <c r="I714" s="222"/>
      <c r="J714" s="222"/>
      <c r="K714" s="222"/>
      <c r="L714" s="222"/>
      <c r="M714" s="222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customFormat="false" ht="14.25" hidden="false" customHeight="true" outlineLevel="0" collapsed="false">
      <c r="A715" s="217"/>
      <c r="B715" s="217"/>
      <c r="C715" s="217"/>
      <c r="D715" s="218"/>
      <c r="E715" s="219"/>
      <c r="F715" s="220"/>
      <c r="G715" s="221"/>
      <c r="H715" s="221"/>
      <c r="I715" s="222"/>
      <c r="J715" s="222"/>
      <c r="K715" s="222"/>
      <c r="L715" s="222"/>
      <c r="M715" s="222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customFormat="false" ht="14.25" hidden="false" customHeight="true" outlineLevel="0" collapsed="false">
      <c r="A716" s="217"/>
      <c r="B716" s="217"/>
      <c r="C716" s="217"/>
      <c r="D716" s="218"/>
      <c r="E716" s="219"/>
      <c r="F716" s="220"/>
      <c r="G716" s="221"/>
      <c r="H716" s="221"/>
      <c r="I716" s="222"/>
      <c r="J716" s="222"/>
      <c r="K716" s="222"/>
      <c r="L716" s="222"/>
      <c r="M716" s="222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customFormat="false" ht="14.25" hidden="false" customHeight="true" outlineLevel="0" collapsed="false">
      <c r="A717" s="217"/>
      <c r="B717" s="217"/>
      <c r="C717" s="217"/>
      <c r="D717" s="218"/>
      <c r="E717" s="219"/>
      <c r="F717" s="220"/>
      <c r="G717" s="221"/>
      <c r="H717" s="221"/>
      <c r="I717" s="222"/>
      <c r="J717" s="222"/>
      <c r="K717" s="222"/>
      <c r="L717" s="222"/>
      <c r="M717" s="222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customFormat="false" ht="14.25" hidden="false" customHeight="true" outlineLevel="0" collapsed="false">
      <c r="A718" s="217"/>
      <c r="B718" s="217"/>
      <c r="C718" s="217"/>
      <c r="D718" s="218"/>
      <c r="E718" s="219"/>
      <c r="F718" s="220"/>
      <c r="G718" s="221"/>
      <c r="H718" s="221"/>
      <c r="I718" s="222"/>
      <c r="J718" s="222"/>
      <c r="K718" s="222"/>
      <c r="L718" s="222"/>
      <c r="M718" s="222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customFormat="false" ht="14.25" hidden="false" customHeight="true" outlineLevel="0" collapsed="false">
      <c r="A719" s="217"/>
      <c r="B719" s="217"/>
      <c r="C719" s="217"/>
      <c r="D719" s="218"/>
      <c r="E719" s="219"/>
      <c r="F719" s="220"/>
      <c r="G719" s="221"/>
      <c r="H719" s="221"/>
      <c r="I719" s="222"/>
      <c r="J719" s="222"/>
      <c r="K719" s="222"/>
      <c r="L719" s="222"/>
      <c r="M719" s="222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customFormat="false" ht="14.25" hidden="false" customHeight="true" outlineLevel="0" collapsed="false">
      <c r="A720" s="217"/>
      <c r="B720" s="217"/>
      <c r="C720" s="217"/>
      <c r="D720" s="218"/>
      <c r="E720" s="219"/>
      <c r="F720" s="220"/>
      <c r="G720" s="221"/>
      <c r="H720" s="221"/>
      <c r="I720" s="222"/>
      <c r="J720" s="222"/>
      <c r="K720" s="222"/>
      <c r="L720" s="222"/>
      <c r="M720" s="222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customFormat="false" ht="14.25" hidden="false" customHeight="true" outlineLevel="0" collapsed="false">
      <c r="A721" s="217"/>
      <c r="B721" s="217"/>
      <c r="C721" s="217"/>
      <c r="D721" s="218"/>
      <c r="E721" s="219"/>
      <c r="F721" s="220"/>
      <c r="G721" s="221"/>
      <c r="H721" s="221"/>
      <c r="I721" s="222"/>
      <c r="J721" s="222"/>
      <c r="K721" s="222"/>
      <c r="L721" s="222"/>
      <c r="M721" s="222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customFormat="false" ht="14.25" hidden="false" customHeight="true" outlineLevel="0" collapsed="false">
      <c r="A722" s="217"/>
      <c r="B722" s="217"/>
      <c r="C722" s="217"/>
      <c r="D722" s="218"/>
      <c r="E722" s="219"/>
      <c r="F722" s="220"/>
      <c r="G722" s="221"/>
      <c r="H722" s="221"/>
      <c r="I722" s="222"/>
      <c r="J722" s="222"/>
      <c r="K722" s="222"/>
      <c r="L722" s="222"/>
      <c r="M722" s="222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customFormat="false" ht="14.25" hidden="false" customHeight="true" outlineLevel="0" collapsed="false">
      <c r="A723" s="217"/>
      <c r="B723" s="217"/>
      <c r="C723" s="217"/>
      <c r="D723" s="218"/>
      <c r="E723" s="219"/>
      <c r="F723" s="220"/>
      <c r="G723" s="221"/>
      <c r="H723" s="221"/>
      <c r="I723" s="222"/>
      <c r="J723" s="222"/>
      <c r="K723" s="222"/>
      <c r="L723" s="222"/>
      <c r="M723" s="222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customFormat="false" ht="14.25" hidden="false" customHeight="true" outlineLevel="0" collapsed="false">
      <c r="A724" s="217"/>
      <c r="B724" s="217"/>
      <c r="C724" s="217"/>
      <c r="D724" s="218"/>
      <c r="E724" s="219"/>
      <c r="F724" s="220"/>
      <c r="G724" s="221"/>
      <c r="H724" s="221"/>
      <c r="I724" s="222"/>
      <c r="J724" s="222"/>
      <c r="K724" s="222"/>
      <c r="L724" s="222"/>
      <c r="M724" s="222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customFormat="false" ht="14.25" hidden="false" customHeight="true" outlineLevel="0" collapsed="false">
      <c r="A725" s="217"/>
      <c r="B725" s="217"/>
      <c r="C725" s="217"/>
      <c r="D725" s="218"/>
      <c r="E725" s="219"/>
      <c r="F725" s="220"/>
      <c r="G725" s="221"/>
      <c r="H725" s="221"/>
      <c r="I725" s="222"/>
      <c r="J725" s="222"/>
      <c r="K725" s="222"/>
      <c r="L725" s="222"/>
      <c r="M725" s="222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customFormat="false" ht="14.25" hidden="false" customHeight="true" outlineLevel="0" collapsed="false">
      <c r="A726" s="217"/>
      <c r="B726" s="217"/>
      <c r="C726" s="217"/>
      <c r="D726" s="218"/>
      <c r="E726" s="219"/>
      <c r="F726" s="220"/>
      <c r="G726" s="221"/>
      <c r="H726" s="221"/>
      <c r="I726" s="222"/>
      <c r="J726" s="222"/>
      <c r="K726" s="222"/>
      <c r="L726" s="222"/>
      <c r="M726" s="222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customFormat="false" ht="14.25" hidden="false" customHeight="true" outlineLevel="0" collapsed="false">
      <c r="A727" s="217"/>
      <c r="B727" s="217"/>
      <c r="C727" s="217"/>
      <c r="D727" s="218"/>
      <c r="E727" s="219"/>
      <c r="F727" s="220"/>
      <c r="G727" s="221"/>
      <c r="H727" s="221"/>
      <c r="I727" s="222"/>
      <c r="J727" s="222"/>
      <c r="K727" s="222"/>
      <c r="L727" s="222"/>
      <c r="M727" s="222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customFormat="false" ht="14.25" hidden="false" customHeight="true" outlineLevel="0" collapsed="false">
      <c r="A728" s="217"/>
      <c r="B728" s="217"/>
      <c r="C728" s="217"/>
      <c r="D728" s="218"/>
      <c r="E728" s="219"/>
      <c r="F728" s="220"/>
      <c r="G728" s="221"/>
      <c r="H728" s="221"/>
      <c r="I728" s="222"/>
      <c r="J728" s="222"/>
      <c r="K728" s="222"/>
      <c r="L728" s="222"/>
      <c r="M728" s="222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customFormat="false" ht="14.25" hidden="false" customHeight="true" outlineLevel="0" collapsed="false">
      <c r="A729" s="217"/>
      <c r="B729" s="217"/>
      <c r="C729" s="217"/>
      <c r="D729" s="218"/>
      <c r="E729" s="219"/>
      <c r="F729" s="220"/>
      <c r="G729" s="221"/>
      <c r="H729" s="221"/>
      <c r="I729" s="222"/>
      <c r="J729" s="222"/>
      <c r="K729" s="222"/>
      <c r="L729" s="222"/>
      <c r="M729" s="222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customFormat="false" ht="14.25" hidden="false" customHeight="true" outlineLevel="0" collapsed="false">
      <c r="A730" s="217"/>
      <c r="B730" s="217"/>
      <c r="C730" s="217"/>
      <c r="D730" s="218"/>
      <c r="E730" s="219"/>
      <c r="F730" s="220"/>
      <c r="G730" s="221"/>
      <c r="H730" s="221"/>
      <c r="I730" s="222"/>
      <c r="J730" s="222"/>
      <c r="K730" s="222"/>
      <c r="L730" s="222"/>
      <c r="M730" s="222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customFormat="false" ht="14.25" hidden="false" customHeight="true" outlineLevel="0" collapsed="false">
      <c r="A731" s="217"/>
      <c r="B731" s="217"/>
      <c r="C731" s="217"/>
      <c r="D731" s="218"/>
      <c r="E731" s="219"/>
      <c r="F731" s="220"/>
      <c r="G731" s="221"/>
      <c r="H731" s="221"/>
      <c r="I731" s="222"/>
      <c r="J731" s="222"/>
      <c r="K731" s="222"/>
      <c r="L731" s="222"/>
      <c r="M731" s="222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customFormat="false" ht="14.25" hidden="false" customHeight="true" outlineLevel="0" collapsed="false">
      <c r="A732" s="217"/>
      <c r="B732" s="217"/>
      <c r="C732" s="217"/>
      <c r="D732" s="218"/>
      <c r="E732" s="219"/>
      <c r="F732" s="220"/>
      <c r="G732" s="221"/>
      <c r="H732" s="221"/>
      <c r="I732" s="222"/>
      <c r="J732" s="222"/>
      <c r="K732" s="222"/>
      <c r="L732" s="222"/>
      <c r="M732" s="222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customFormat="false" ht="14.25" hidden="false" customHeight="true" outlineLevel="0" collapsed="false">
      <c r="A733" s="217"/>
      <c r="B733" s="217"/>
      <c r="C733" s="217"/>
      <c r="D733" s="218"/>
      <c r="E733" s="219"/>
      <c r="F733" s="220"/>
      <c r="G733" s="221"/>
      <c r="H733" s="221"/>
      <c r="I733" s="222"/>
      <c r="J733" s="222"/>
      <c r="K733" s="222"/>
      <c r="L733" s="222"/>
      <c r="M733" s="222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customFormat="false" ht="14.25" hidden="false" customHeight="true" outlineLevel="0" collapsed="false">
      <c r="A734" s="217"/>
      <c r="B734" s="217"/>
      <c r="C734" s="217"/>
      <c r="D734" s="218"/>
      <c r="E734" s="219"/>
      <c r="F734" s="220"/>
      <c r="G734" s="221"/>
      <c r="H734" s="221"/>
      <c r="I734" s="222"/>
      <c r="J734" s="222"/>
      <c r="K734" s="222"/>
      <c r="L734" s="222"/>
      <c r="M734" s="222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customFormat="false" ht="14.25" hidden="false" customHeight="true" outlineLevel="0" collapsed="false">
      <c r="A735" s="217"/>
      <c r="B735" s="217"/>
      <c r="C735" s="217"/>
      <c r="D735" s="218"/>
      <c r="E735" s="219"/>
      <c r="F735" s="220"/>
      <c r="G735" s="221"/>
      <c r="H735" s="221"/>
      <c r="I735" s="222"/>
      <c r="J735" s="222"/>
      <c r="K735" s="222"/>
      <c r="L735" s="222"/>
      <c r="M735" s="222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customFormat="false" ht="14.25" hidden="false" customHeight="true" outlineLevel="0" collapsed="false">
      <c r="A736" s="217"/>
      <c r="B736" s="217"/>
      <c r="C736" s="217"/>
      <c r="D736" s="218"/>
      <c r="E736" s="219"/>
      <c r="F736" s="220"/>
      <c r="G736" s="221"/>
      <c r="H736" s="221"/>
      <c r="I736" s="222"/>
      <c r="J736" s="222"/>
      <c r="K736" s="222"/>
      <c r="L736" s="222"/>
      <c r="M736" s="222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customFormat="false" ht="14.25" hidden="false" customHeight="true" outlineLevel="0" collapsed="false">
      <c r="A737" s="217"/>
      <c r="B737" s="217"/>
      <c r="C737" s="217"/>
      <c r="D737" s="218"/>
      <c r="E737" s="219"/>
      <c r="F737" s="220"/>
      <c r="G737" s="221"/>
      <c r="H737" s="221"/>
      <c r="I737" s="222"/>
      <c r="J737" s="222"/>
      <c r="K737" s="222"/>
      <c r="L737" s="222"/>
      <c r="M737" s="222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customFormat="false" ht="14.25" hidden="false" customHeight="true" outlineLevel="0" collapsed="false">
      <c r="A738" s="217"/>
      <c r="B738" s="217"/>
      <c r="C738" s="217"/>
      <c r="D738" s="218"/>
      <c r="E738" s="219"/>
      <c r="F738" s="220"/>
      <c r="G738" s="221"/>
      <c r="H738" s="221"/>
      <c r="I738" s="222"/>
      <c r="J738" s="222"/>
      <c r="K738" s="222"/>
      <c r="L738" s="222"/>
      <c r="M738" s="222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customFormat="false" ht="14.25" hidden="false" customHeight="true" outlineLevel="0" collapsed="false">
      <c r="A739" s="217"/>
      <c r="B739" s="217"/>
      <c r="C739" s="217"/>
      <c r="D739" s="218"/>
      <c r="E739" s="219"/>
      <c r="F739" s="220"/>
      <c r="G739" s="221"/>
      <c r="H739" s="221"/>
      <c r="I739" s="222"/>
      <c r="J739" s="222"/>
      <c r="K739" s="222"/>
      <c r="L739" s="222"/>
      <c r="M739" s="222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customFormat="false" ht="14.25" hidden="false" customHeight="true" outlineLevel="0" collapsed="false">
      <c r="A740" s="217"/>
      <c r="B740" s="217"/>
      <c r="C740" s="217"/>
      <c r="D740" s="218"/>
      <c r="E740" s="219"/>
      <c r="F740" s="220"/>
      <c r="G740" s="221"/>
      <c r="H740" s="221"/>
      <c r="I740" s="222"/>
      <c r="J740" s="222"/>
      <c r="K740" s="222"/>
      <c r="L740" s="222"/>
      <c r="M740" s="222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customFormat="false" ht="14.25" hidden="false" customHeight="true" outlineLevel="0" collapsed="false">
      <c r="A741" s="217"/>
      <c r="B741" s="217"/>
      <c r="C741" s="217"/>
      <c r="D741" s="218"/>
      <c r="E741" s="219"/>
      <c r="F741" s="220"/>
      <c r="G741" s="221"/>
      <c r="H741" s="221"/>
      <c r="I741" s="222"/>
      <c r="J741" s="222"/>
      <c r="K741" s="222"/>
      <c r="L741" s="222"/>
      <c r="M741" s="222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customFormat="false" ht="14.25" hidden="false" customHeight="true" outlineLevel="0" collapsed="false">
      <c r="A742" s="217"/>
      <c r="B742" s="217"/>
      <c r="C742" s="217"/>
      <c r="D742" s="218"/>
      <c r="E742" s="219"/>
      <c r="F742" s="220"/>
      <c r="G742" s="221"/>
      <c r="H742" s="221"/>
      <c r="I742" s="222"/>
      <c r="J742" s="222"/>
      <c r="K742" s="222"/>
      <c r="L742" s="222"/>
      <c r="M742" s="222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customFormat="false" ht="14.25" hidden="false" customHeight="true" outlineLevel="0" collapsed="false">
      <c r="A743" s="217"/>
      <c r="B743" s="217"/>
      <c r="C743" s="217"/>
      <c r="D743" s="218"/>
      <c r="E743" s="219"/>
      <c r="F743" s="220"/>
      <c r="G743" s="221"/>
      <c r="H743" s="221"/>
      <c r="I743" s="222"/>
      <c r="J743" s="222"/>
      <c r="K743" s="222"/>
      <c r="L743" s="222"/>
      <c r="M743" s="222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customFormat="false" ht="14.25" hidden="false" customHeight="true" outlineLevel="0" collapsed="false">
      <c r="A744" s="217"/>
      <c r="B744" s="217"/>
      <c r="C744" s="217"/>
      <c r="D744" s="218"/>
      <c r="E744" s="219"/>
      <c r="F744" s="220"/>
      <c r="G744" s="221"/>
      <c r="H744" s="221"/>
      <c r="I744" s="222"/>
      <c r="J744" s="222"/>
      <c r="K744" s="222"/>
      <c r="L744" s="222"/>
      <c r="M744" s="222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customFormat="false" ht="14.25" hidden="false" customHeight="true" outlineLevel="0" collapsed="false">
      <c r="A745" s="217"/>
      <c r="B745" s="217"/>
      <c r="C745" s="217"/>
      <c r="D745" s="218"/>
      <c r="E745" s="219"/>
      <c r="F745" s="220"/>
      <c r="G745" s="221"/>
      <c r="H745" s="221"/>
      <c r="I745" s="222"/>
      <c r="J745" s="222"/>
      <c r="K745" s="222"/>
      <c r="L745" s="222"/>
      <c r="M745" s="222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customFormat="false" ht="14.25" hidden="false" customHeight="true" outlineLevel="0" collapsed="false">
      <c r="A746" s="217"/>
      <c r="B746" s="217"/>
      <c r="C746" s="217"/>
      <c r="D746" s="218"/>
      <c r="E746" s="219"/>
      <c r="F746" s="220"/>
      <c r="G746" s="221"/>
      <c r="H746" s="221"/>
      <c r="I746" s="222"/>
      <c r="J746" s="222"/>
      <c r="K746" s="222"/>
      <c r="L746" s="222"/>
      <c r="M746" s="222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customFormat="false" ht="14.25" hidden="false" customHeight="true" outlineLevel="0" collapsed="false">
      <c r="A747" s="217"/>
      <c r="B747" s="217"/>
      <c r="C747" s="217"/>
      <c r="D747" s="218"/>
      <c r="E747" s="219"/>
      <c r="F747" s="220"/>
      <c r="G747" s="221"/>
      <c r="H747" s="221"/>
      <c r="I747" s="222"/>
      <c r="J747" s="222"/>
      <c r="K747" s="222"/>
      <c r="L747" s="222"/>
      <c r="M747" s="222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customFormat="false" ht="14.25" hidden="false" customHeight="true" outlineLevel="0" collapsed="false">
      <c r="A748" s="217"/>
      <c r="B748" s="217"/>
      <c r="C748" s="217"/>
      <c r="D748" s="218"/>
      <c r="E748" s="219"/>
      <c r="F748" s="220"/>
      <c r="G748" s="221"/>
      <c r="H748" s="221"/>
      <c r="I748" s="222"/>
      <c r="J748" s="222"/>
      <c r="K748" s="222"/>
      <c r="L748" s="222"/>
      <c r="M748" s="222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customFormat="false" ht="14.25" hidden="false" customHeight="true" outlineLevel="0" collapsed="false">
      <c r="A749" s="217"/>
      <c r="B749" s="217"/>
      <c r="C749" s="217"/>
      <c r="D749" s="218"/>
      <c r="E749" s="219"/>
      <c r="F749" s="220"/>
      <c r="G749" s="221"/>
      <c r="H749" s="221"/>
      <c r="I749" s="222"/>
      <c r="J749" s="222"/>
      <c r="K749" s="222"/>
      <c r="L749" s="222"/>
      <c r="M749" s="222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customFormat="false" ht="14.25" hidden="false" customHeight="true" outlineLevel="0" collapsed="false">
      <c r="A750" s="217"/>
      <c r="B750" s="217"/>
      <c r="C750" s="217"/>
      <c r="D750" s="218"/>
      <c r="E750" s="219"/>
      <c r="F750" s="220"/>
      <c r="G750" s="221"/>
      <c r="H750" s="221"/>
      <c r="I750" s="222"/>
      <c r="J750" s="222"/>
      <c r="K750" s="222"/>
      <c r="L750" s="222"/>
      <c r="M750" s="222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customFormat="false" ht="14.25" hidden="false" customHeight="true" outlineLevel="0" collapsed="false">
      <c r="A751" s="217"/>
      <c r="B751" s="217"/>
      <c r="C751" s="217"/>
      <c r="D751" s="218"/>
      <c r="E751" s="219"/>
      <c r="F751" s="220"/>
      <c r="G751" s="221"/>
      <c r="H751" s="221"/>
      <c r="I751" s="222"/>
      <c r="J751" s="222"/>
      <c r="K751" s="222"/>
      <c r="L751" s="222"/>
      <c r="M751" s="222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customFormat="false" ht="14.25" hidden="false" customHeight="true" outlineLevel="0" collapsed="false">
      <c r="A752" s="217"/>
      <c r="B752" s="217"/>
      <c r="C752" s="217"/>
      <c r="D752" s="218"/>
      <c r="E752" s="219"/>
      <c r="F752" s="220"/>
      <c r="G752" s="221"/>
      <c r="H752" s="221"/>
      <c r="I752" s="222"/>
      <c r="J752" s="222"/>
      <c r="K752" s="222"/>
      <c r="L752" s="222"/>
      <c r="M752" s="222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customFormat="false" ht="14.25" hidden="false" customHeight="true" outlineLevel="0" collapsed="false">
      <c r="A753" s="217"/>
      <c r="B753" s="217"/>
      <c r="C753" s="217"/>
      <c r="D753" s="218"/>
      <c r="E753" s="219"/>
      <c r="F753" s="220"/>
      <c r="G753" s="221"/>
      <c r="H753" s="221"/>
      <c r="I753" s="222"/>
      <c r="J753" s="222"/>
      <c r="K753" s="222"/>
      <c r="L753" s="222"/>
      <c r="M753" s="222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customFormat="false" ht="14.25" hidden="false" customHeight="true" outlineLevel="0" collapsed="false">
      <c r="A754" s="217"/>
      <c r="B754" s="217"/>
      <c r="C754" s="217"/>
      <c r="D754" s="218"/>
      <c r="E754" s="219"/>
      <c r="F754" s="220"/>
      <c r="G754" s="221"/>
      <c r="H754" s="221"/>
      <c r="I754" s="222"/>
      <c r="J754" s="222"/>
      <c r="K754" s="222"/>
      <c r="L754" s="222"/>
      <c r="M754" s="222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customFormat="false" ht="14.25" hidden="false" customHeight="true" outlineLevel="0" collapsed="false">
      <c r="A755" s="217"/>
      <c r="B755" s="217"/>
      <c r="C755" s="217"/>
      <c r="D755" s="218"/>
      <c r="E755" s="219"/>
      <c r="F755" s="220"/>
      <c r="G755" s="221"/>
      <c r="H755" s="221"/>
      <c r="I755" s="222"/>
      <c r="J755" s="222"/>
      <c r="K755" s="222"/>
      <c r="L755" s="222"/>
      <c r="M755" s="222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customFormat="false" ht="14.25" hidden="false" customHeight="true" outlineLevel="0" collapsed="false">
      <c r="A756" s="217"/>
      <c r="B756" s="217"/>
      <c r="C756" s="217"/>
      <c r="D756" s="218"/>
      <c r="E756" s="219"/>
      <c r="F756" s="220"/>
      <c r="G756" s="221"/>
      <c r="H756" s="221"/>
      <c r="I756" s="222"/>
      <c r="J756" s="222"/>
      <c r="K756" s="222"/>
      <c r="L756" s="222"/>
      <c r="M756" s="222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customFormat="false" ht="14.25" hidden="false" customHeight="true" outlineLevel="0" collapsed="false">
      <c r="A757" s="217"/>
      <c r="B757" s="217"/>
      <c r="C757" s="217"/>
      <c r="D757" s="218"/>
      <c r="E757" s="219"/>
      <c r="F757" s="220"/>
      <c r="G757" s="221"/>
      <c r="H757" s="221"/>
      <c r="I757" s="222"/>
      <c r="J757" s="222"/>
      <c r="K757" s="222"/>
      <c r="L757" s="222"/>
      <c r="M757" s="222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customFormat="false" ht="14.25" hidden="false" customHeight="true" outlineLevel="0" collapsed="false">
      <c r="A758" s="217"/>
      <c r="B758" s="217"/>
      <c r="C758" s="217"/>
      <c r="D758" s="218"/>
      <c r="E758" s="219"/>
      <c r="F758" s="220"/>
      <c r="G758" s="221"/>
      <c r="H758" s="221"/>
      <c r="I758" s="222"/>
      <c r="J758" s="222"/>
      <c r="K758" s="222"/>
      <c r="L758" s="222"/>
      <c r="M758" s="222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customFormat="false" ht="14.25" hidden="false" customHeight="true" outlineLevel="0" collapsed="false">
      <c r="A759" s="217"/>
      <c r="B759" s="217"/>
      <c r="C759" s="217"/>
      <c r="D759" s="218"/>
      <c r="E759" s="219"/>
      <c r="F759" s="220"/>
      <c r="G759" s="221"/>
      <c r="H759" s="221"/>
      <c r="I759" s="222"/>
      <c r="J759" s="222"/>
      <c r="K759" s="222"/>
      <c r="L759" s="222"/>
      <c r="M759" s="222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customFormat="false" ht="14.25" hidden="false" customHeight="true" outlineLevel="0" collapsed="false">
      <c r="A760" s="217"/>
      <c r="B760" s="217"/>
      <c r="C760" s="217"/>
      <c r="D760" s="218"/>
      <c r="E760" s="219"/>
      <c r="F760" s="220"/>
      <c r="G760" s="221"/>
      <c r="H760" s="221"/>
      <c r="I760" s="222"/>
      <c r="J760" s="222"/>
      <c r="K760" s="222"/>
      <c r="L760" s="222"/>
      <c r="M760" s="222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customFormat="false" ht="14.25" hidden="false" customHeight="true" outlineLevel="0" collapsed="false">
      <c r="A761" s="217"/>
      <c r="B761" s="217"/>
      <c r="C761" s="217"/>
      <c r="D761" s="218"/>
      <c r="E761" s="219"/>
      <c r="F761" s="220"/>
      <c r="G761" s="221"/>
      <c r="H761" s="221"/>
      <c r="I761" s="222"/>
      <c r="J761" s="222"/>
      <c r="K761" s="222"/>
      <c r="L761" s="222"/>
      <c r="M761" s="222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customFormat="false" ht="14.25" hidden="false" customHeight="true" outlineLevel="0" collapsed="false">
      <c r="A762" s="217"/>
      <c r="B762" s="217"/>
      <c r="C762" s="217"/>
      <c r="D762" s="218"/>
      <c r="E762" s="219"/>
      <c r="F762" s="220"/>
      <c r="G762" s="221"/>
      <c r="H762" s="221"/>
      <c r="I762" s="222"/>
      <c r="J762" s="222"/>
      <c r="K762" s="222"/>
      <c r="L762" s="222"/>
      <c r="M762" s="222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customFormat="false" ht="14.25" hidden="false" customHeight="true" outlineLevel="0" collapsed="false">
      <c r="A763" s="217"/>
      <c r="B763" s="217"/>
      <c r="C763" s="217"/>
      <c r="D763" s="218"/>
      <c r="E763" s="219"/>
      <c r="F763" s="220"/>
      <c r="G763" s="221"/>
      <c r="H763" s="221"/>
      <c r="I763" s="222"/>
      <c r="J763" s="222"/>
      <c r="K763" s="222"/>
      <c r="L763" s="222"/>
      <c r="M763" s="222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customFormat="false" ht="14.25" hidden="false" customHeight="true" outlineLevel="0" collapsed="false">
      <c r="A764" s="217"/>
      <c r="B764" s="217"/>
      <c r="C764" s="217"/>
      <c r="D764" s="218"/>
      <c r="E764" s="219"/>
      <c r="F764" s="220"/>
      <c r="G764" s="221"/>
      <c r="H764" s="221"/>
      <c r="I764" s="222"/>
      <c r="J764" s="222"/>
      <c r="K764" s="222"/>
      <c r="L764" s="222"/>
      <c r="M764" s="222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customFormat="false" ht="14.25" hidden="false" customHeight="true" outlineLevel="0" collapsed="false">
      <c r="A765" s="217"/>
      <c r="B765" s="217"/>
      <c r="C765" s="217"/>
      <c r="D765" s="218"/>
      <c r="E765" s="219"/>
      <c r="F765" s="220"/>
      <c r="G765" s="221"/>
      <c r="H765" s="221"/>
      <c r="I765" s="222"/>
      <c r="J765" s="222"/>
      <c r="K765" s="222"/>
      <c r="L765" s="222"/>
      <c r="M765" s="222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customFormat="false" ht="14.25" hidden="false" customHeight="true" outlineLevel="0" collapsed="false">
      <c r="A766" s="217"/>
      <c r="B766" s="217"/>
      <c r="C766" s="217"/>
      <c r="D766" s="218"/>
      <c r="E766" s="219"/>
      <c r="F766" s="220"/>
      <c r="G766" s="221"/>
      <c r="H766" s="221"/>
      <c r="I766" s="222"/>
      <c r="J766" s="222"/>
      <c r="K766" s="222"/>
      <c r="L766" s="222"/>
      <c r="M766" s="222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customFormat="false" ht="14.25" hidden="false" customHeight="true" outlineLevel="0" collapsed="false">
      <c r="A767" s="217"/>
      <c r="B767" s="217"/>
      <c r="C767" s="217"/>
      <c r="D767" s="218"/>
      <c r="E767" s="219"/>
      <c r="F767" s="220"/>
      <c r="G767" s="221"/>
      <c r="H767" s="221"/>
      <c r="I767" s="222"/>
      <c r="J767" s="222"/>
      <c r="K767" s="222"/>
      <c r="L767" s="222"/>
      <c r="M767" s="222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customFormat="false" ht="14.25" hidden="false" customHeight="true" outlineLevel="0" collapsed="false">
      <c r="A768" s="217"/>
      <c r="B768" s="217"/>
      <c r="C768" s="217"/>
      <c r="D768" s="218"/>
      <c r="E768" s="219"/>
      <c r="F768" s="220"/>
      <c r="G768" s="221"/>
      <c r="H768" s="221"/>
      <c r="I768" s="222"/>
      <c r="J768" s="222"/>
      <c r="K768" s="222"/>
      <c r="L768" s="222"/>
      <c r="M768" s="222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customFormat="false" ht="14.25" hidden="false" customHeight="true" outlineLevel="0" collapsed="false">
      <c r="A769" s="217"/>
      <c r="B769" s="217"/>
      <c r="C769" s="217"/>
      <c r="D769" s="218"/>
      <c r="E769" s="219"/>
      <c r="F769" s="220"/>
      <c r="G769" s="221"/>
      <c r="H769" s="221"/>
      <c r="I769" s="222"/>
      <c r="J769" s="222"/>
      <c r="K769" s="222"/>
      <c r="L769" s="222"/>
      <c r="M769" s="222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customFormat="false" ht="14.25" hidden="false" customHeight="true" outlineLevel="0" collapsed="false">
      <c r="A770" s="217"/>
      <c r="B770" s="217"/>
      <c r="C770" s="217"/>
      <c r="D770" s="218"/>
      <c r="E770" s="219"/>
      <c r="F770" s="220"/>
      <c r="G770" s="221"/>
      <c r="H770" s="221"/>
      <c r="I770" s="222"/>
      <c r="J770" s="222"/>
      <c r="K770" s="222"/>
      <c r="L770" s="222"/>
      <c r="M770" s="222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customFormat="false" ht="14.25" hidden="false" customHeight="true" outlineLevel="0" collapsed="false">
      <c r="A771" s="217"/>
      <c r="B771" s="217"/>
      <c r="C771" s="217"/>
      <c r="D771" s="218"/>
      <c r="E771" s="219"/>
      <c r="F771" s="220"/>
      <c r="G771" s="221"/>
      <c r="H771" s="221"/>
      <c r="I771" s="222"/>
      <c r="J771" s="222"/>
      <c r="K771" s="222"/>
      <c r="L771" s="222"/>
      <c r="M771" s="222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customFormat="false" ht="14.25" hidden="false" customHeight="true" outlineLevel="0" collapsed="false">
      <c r="A772" s="217"/>
      <c r="B772" s="217"/>
      <c r="C772" s="217"/>
      <c r="D772" s="218"/>
      <c r="E772" s="219"/>
      <c r="F772" s="220"/>
      <c r="G772" s="221"/>
      <c r="H772" s="221"/>
      <c r="I772" s="222"/>
      <c r="J772" s="222"/>
      <c r="K772" s="222"/>
      <c r="L772" s="222"/>
      <c r="M772" s="222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customFormat="false" ht="14.25" hidden="false" customHeight="true" outlineLevel="0" collapsed="false">
      <c r="A773" s="217"/>
      <c r="B773" s="217"/>
      <c r="C773" s="217"/>
      <c r="D773" s="218"/>
      <c r="E773" s="219"/>
      <c r="F773" s="220"/>
      <c r="G773" s="221"/>
      <c r="H773" s="221"/>
      <c r="I773" s="222"/>
      <c r="J773" s="222"/>
      <c r="K773" s="222"/>
      <c r="L773" s="222"/>
      <c r="M773" s="222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customFormat="false" ht="14.25" hidden="false" customHeight="true" outlineLevel="0" collapsed="false">
      <c r="A774" s="217"/>
      <c r="B774" s="217"/>
      <c r="C774" s="217"/>
      <c r="D774" s="218"/>
      <c r="E774" s="219"/>
      <c r="F774" s="220"/>
      <c r="G774" s="221"/>
      <c r="H774" s="221"/>
      <c r="I774" s="222"/>
      <c r="J774" s="222"/>
      <c r="K774" s="222"/>
      <c r="L774" s="222"/>
      <c r="M774" s="222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customFormat="false" ht="14.25" hidden="false" customHeight="true" outlineLevel="0" collapsed="false">
      <c r="A775" s="217"/>
      <c r="B775" s="217"/>
      <c r="C775" s="217"/>
      <c r="D775" s="218"/>
      <c r="E775" s="219"/>
      <c r="F775" s="220"/>
      <c r="G775" s="221"/>
      <c r="H775" s="221"/>
      <c r="I775" s="222"/>
      <c r="J775" s="222"/>
      <c r="K775" s="222"/>
      <c r="L775" s="222"/>
      <c r="M775" s="222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customFormat="false" ht="14.25" hidden="false" customHeight="true" outlineLevel="0" collapsed="false">
      <c r="A776" s="217"/>
      <c r="B776" s="217"/>
      <c r="C776" s="217"/>
      <c r="D776" s="218"/>
      <c r="E776" s="219"/>
      <c r="F776" s="220"/>
      <c r="G776" s="221"/>
      <c r="H776" s="221"/>
      <c r="I776" s="222"/>
      <c r="J776" s="222"/>
      <c r="K776" s="222"/>
      <c r="L776" s="222"/>
      <c r="M776" s="222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customFormat="false" ht="14.25" hidden="false" customHeight="true" outlineLevel="0" collapsed="false">
      <c r="A777" s="217"/>
      <c r="B777" s="217"/>
      <c r="C777" s="217"/>
      <c r="D777" s="218"/>
      <c r="E777" s="219"/>
      <c r="F777" s="220"/>
      <c r="G777" s="221"/>
      <c r="H777" s="221"/>
      <c r="I777" s="222"/>
      <c r="J777" s="222"/>
      <c r="K777" s="222"/>
      <c r="L777" s="222"/>
      <c r="M777" s="222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customFormat="false" ht="14.25" hidden="false" customHeight="true" outlineLevel="0" collapsed="false">
      <c r="A778" s="217"/>
      <c r="B778" s="217"/>
      <c r="C778" s="217"/>
      <c r="D778" s="218"/>
      <c r="E778" s="219"/>
      <c r="F778" s="220"/>
      <c r="G778" s="221"/>
      <c r="H778" s="221"/>
      <c r="I778" s="222"/>
      <c r="J778" s="222"/>
      <c r="K778" s="222"/>
      <c r="L778" s="222"/>
      <c r="M778" s="222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customFormat="false" ht="14.25" hidden="false" customHeight="true" outlineLevel="0" collapsed="false">
      <c r="A779" s="217"/>
      <c r="B779" s="217"/>
      <c r="C779" s="217"/>
      <c r="D779" s="218"/>
      <c r="E779" s="219"/>
      <c r="F779" s="220"/>
      <c r="G779" s="221"/>
      <c r="H779" s="221"/>
      <c r="I779" s="222"/>
      <c r="J779" s="222"/>
      <c r="K779" s="222"/>
      <c r="L779" s="222"/>
      <c r="M779" s="222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customFormat="false" ht="14.25" hidden="false" customHeight="true" outlineLevel="0" collapsed="false">
      <c r="A780" s="217"/>
      <c r="B780" s="217"/>
      <c r="C780" s="217"/>
      <c r="D780" s="218"/>
      <c r="E780" s="219"/>
      <c r="F780" s="220"/>
      <c r="G780" s="221"/>
      <c r="H780" s="221"/>
      <c r="I780" s="222"/>
      <c r="J780" s="222"/>
      <c r="K780" s="222"/>
      <c r="L780" s="222"/>
      <c r="M780" s="222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customFormat="false" ht="14.25" hidden="false" customHeight="true" outlineLevel="0" collapsed="false">
      <c r="A781" s="217"/>
      <c r="B781" s="217"/>
      <c r="C781" s="217"/>
      <c r="D781" s="218"/>
      <c r="E781" s="219"/>
      <c r="F781" s="220"/>
      <c r="G781" s="221"/>
      <c r="H781" s="221"/>
      <c r="I781" s="222"/>
      <c r="J781" s="222"/>
      <c r="K781" s="222"/>
      <c r="L781" s="222"/>
      <c r="M781" s="222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customFormat="false" ht="14.25" hidden="false" customHeight="true" outlineLevel="0" collapsed="false">
      <c r="A782" s="217"/>
      <c r="B782" s="217"/>
      <c r="C782" s="217"/>
      <c r="D782" s="218"/>
      <c r="E782" s="219"/>
      <c r="F782" s="220"/>
      <c r="G782" s="221"/>
      <c r="H782" s="221"/>
      <c r="I782" s="222"/>
      <c r="J782" s="222"/>
      <c r="K782" s="222"/>
      <c r="L782" s="222"/>
      <c r="M782" s="222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customFormat="false" ht="14.25" hidden="false" customHeight="true" outlineLevel="0" collapsed="false">
      <c r="A783" s="217"/>
      <c r="B783" s="217"/>
      <c r="C783" s="217"/>
      <c r="D783" s="218"/>
      <c r="E783" s="219"/>
      <c r="F783" s="220"/>
      <c r="G783" s="221"/>
      <c r="H783" s="221"/>
      <c r="I783" s="222"/>
      <c r="J783" s="222"/>
      <c r="K783" s="222"/>
      <c r="L783" s="222"/>
      <c r="M783" s="222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customFormat="false" ht="14.25" hidden="false" customHeight="true" outlineLevel="0" collapsed="false">
      <c r="A784" s="217"/>
      <c r="B784" s="217"/>
      <c r="C784" s="217"/>
      <c r="D784" s="218"/>
      <c r="E784" s="219"/>
      <c r="F784" s="220"/>
      <c r="G784" s="221"/>
      <c r="H784" s="221"/>
      <c r="I784" s="222"/>
      <c r="J784" s="222"/>
      <c r="K784" s="222"/>
      <c r="L784" s="222"/>
      <c r="M784" s="222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customFormat="false" ht="14.25" hidden="false" customHeight="true" outlineLevel="0" collapsed="false">
      <c r="A785" s="217"/>
      <c r="B785" s="217"/>
      <c r="C785" s="217"/>
      <c r="D785" s="218"/>
      <c r="E785" s="219"/>
      <c r="F785" s="220"/>
      <c r="G785" s="221"/>
      <c r="H785" s="221"/>
      <c r="I785" s="222"/>
      <c r="J785" s="222"/>
      <c r="K785" s="222"/>
      <c r="L785" s="222"/>
      <c r="M785" s="222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customFormat="false" ht="14.25" hidden="false" customHeight="true" outlineLevel="0" collapsed="false">
      <c r="A786" s="217"/>
      <c r="B786" s="217"/>
      <c r="C786" s="217"/>
      <c r="D786" s="218"/>
      <c r="E786" s="219"/>
      <c r="F786" s="220"/>
      <c r="G786" s="221"/>
      <c r="H786" s="221"/>
      <c r="I786" s="222"/>
      <c r="J786" s="222"/>
      <c r="K786" s="222"/>
      <c r="L786" s="222"/>
      <c r="M786" s="222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customFormat="false" ht="14.25" hidden="false" customHeight="true" outlineLevel="0" collapsed="false">
      <c r="A787" s="217"/>
      <c r="B787" s="217"/>
      <c r="C787" s="217"/>
      <c r="D787" s="218"/>
      <c r="E787" s="219"/>
      <c r="F787" s="220"/>
      <c r="G787" s="221"/>
      <c r="H787" s="221"/>
      <c r="I787" s="222"/>
      <c r="J787" s="222"/>
      <c r="K787" s="222"/>
      <c r="L787" s="222"/>
      <c r="M787" s="222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customFormat="false" ht="14.25" hidden="false" customHeight="true" outlineLevel="0" collapsed="false">
      <c r="A788" s="217"/>
      <c r="B788" s="217"/>
      <c r="C788" s="217"/>
      <c r="D788" s="218"/>
      <c r="E788" s="219"/>
      <c r="F788" s="220"/>
      <c r="G788" s="221"/>
      <c r="H788" s="221"/>
      <c r="I788" s="222"/>
      <c r="J788" s="222"/>
      <c r="K788" s="222"/>
      <c r="L788" s="222"/>
      <c r="M788" s="222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customFormat="false" ht="14.25" hidden="false" customHeight="true" outlineLevel="0" collapsed="false">
      <c r="A789" s="217"/>
      <c r="B789" s="217"/>
      <c r="C789" s="217"/>
      <c r="D789" s="218"/>
      <c r="E789" s="219"/>
      <c r="F789" s="220"/>
      <c r="G789" s="221"/>
      <c r="H789" s="221"/>
      <c r="I789" s="222"/>
      <c r="J789" s="222"/>
      <c r="K789" s="222"/>
      <c r="L789" s="222"/>
      <c r="M789" s="222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customFormat="false" ht="14.25" hidden="false" customHeight="true" outlineLevel="0" collapsed="false">
      <c r="A790" s="217"/>
      <c r="B790" s="217"/>
      <c r="C790" s="217"/>
      <c r="D790" s="218"/>
      <c r="E790" s="219"/>
      <c r="F790" s="220"/>
      <c r="G790" s="221"/>
      <c r="H790" s="221"/>
      <c r="I790" s="222"/>
      <c r="J790" s="222"/>
      <c r="K790" s="222"/>
      <c r="L790" s="222"/>
      <c r="M790" s="222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customFormat="false" ht="14.25" hidden="false" customHeight="true" outlineLevel="0" collapsed="false">
      <c r="A791" s="217"/>
      <c r="B791" s="217"/>
      <c r="C791" s="217"/>
      <c r="D791" s="218"/>
      <c r="E791" s="219"/>
      <c r="F791" s="220"/>
      <c r="G791" s="221"/>
      <c r="H791" s="221"/>
      <c r="I791" s="222"/>
      <c r="J791" s="222"/>
      <c r="K791" s="222"/>
      <c r="L791" s="222"/>
      <c r="M791" s="222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customFormat="false" ht="14.25" hidden="false" customHeight="true" outlineLevel="0" collapsed="false">
      <c r="A792" s="217"/>
      <c r="B792" s="217"/>
      <c r="C792" s="217"/>
      <c r="D792" s="218"/>
      <c r="E792" s="219"/>
      <c r="F792" s="220"/>
      <c r="G792" s="221"/>
      <c r="H792" s="221"/>
      <c r="I792" s="222"/>
      <c r="J792" s="222"/>
      <c r="K792" s="222"/>
      <c r="L792" s="222"/>
      <c r="M792" s="222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customFormat="false" ht="14.25" hidden="false" customHeight="true" outlineLevel="0" collapsed="false">
      <c r="A793" s="217"/>
      <c r="B793" s="217"/>
      <c r="C793" s="217"/>
      <c r="D793" s="218"/>
      <c r="E793" s="219"/>
      <c r="F793" s="220"/>
      <c r="G793" s="221"/>
      <c r="H793" s="221"/>
      <c r="I793" s="222"/>
      <c r="J793" s="222"/>
      <c r="K793" s="222"/>
      <c r="L793" s="222"/>
      <c r="M793" s="222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customFormat="false" ht="14.25" hidden="false" customHeight="true" outlineLevel="0" collapsed="false">
      <c r="A794" s="217"/>
      <c r="B794" s="217"/>
      <c r="C794" s="217"/>
      <c r="D794" s="218"/>
      <c r="E794" s="219"/>
      <c r="F794" s="220"/>
      <c r="G794" s="221"/>
      <c r="H794" s="221"/>
      <c r="I794" s="222"/>
      <c r="J794" s="222"/>
      <c r="K794" s="222"/>
      <c r="L794" s="222"/>
      <c r="M794" s="222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customFormat="false" ht="14.25" hidden="false" customHeight="true" outlineLevel="0" collapsed="false">
      <c r="A795" s="217"/>
      <c r="B795" s="217"/>
      <c r="C795" s="217"/>
      <c r="D795" s="218"/>
      <c r="E795" s="219"/>
      <c r="F795" s="220"/>
      <c r="G795" s="221"/>
      <c r="H795" s="221"/>
      <c r="I795" s="222"/>
      <c r="J795" s="222"/>
      <c r="K795" s="222"/>
      <c r="L795" s="222"/>
      <c r="M795" s="222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customFormat="false" ht="14.25" hidden="false" customHeight="true" outlineLevel="0" collapsed="false">
      <c r="A796" s="217"/>
      <c r="B796" s="217"/>
      <c r="C796" s="217"/>
      <c r="D796" s="218"/>
      <c r="E796" s="219"/>
      <c r="F796" s="220"/>
      <c r="G796" s="221"/>
      <c r="H796" s="221"/>
      <c r="I796" s="222"/>
      <c r="J796" s="222"/>
      <c r="K796" s="222"/>
      <c r="L796" s="222"/>
      <c r="M796" s="222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customFormat="false" ht="14.25" hidden="false" customHeight="true" outlineLevel="0" collapsed="false">
      <c r="A797" s="217"/>
      <c r="B797" s="217"/>
      <c r="C797" s="217"/>
      <c r="D797" s="218"/>
      <c r="E797" s="219"/>
      <c r="F797" s="220"/>
      <c r="G797" s="221"/>
      <c r="H797" s="221"/>
      <c r="I797" s="222"/>
      <c r="J797" s="222"/>
      <c r="K797" s="222"/>
      <c r="L797" s="222"/>
      <c r="M797" s="222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customFormat="false" ht="14.25" hidden="false" customHeight="true" outlineLevel="0" collapsed="false">
      <c r="A798" s="217"/>
      <c r="B798" s="217"/>
      <c r="C798" s="217"/>
      <c r="D798" s="218"/>
      <c r="E798" s="219"/>
      <c r="F798" s="220"/>
      <c r="G798" s="221"/>
      <c r="H798" s="221"/>
      <c r="I798" s="222"/>
      <c r="J798" s="222"/>
      <c r="K798" s="222"/>
      <c r="L798" s="222"/>
      <c r="M798" s="222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customFormat="false" ht="14.25" hidden="false" customHeight="true" outlineLevel="0" collapsed="false">
      <c r="A799" s="217"/>
      <c r="B799" s="217"/>
      <c r="C799" s="217"/>
      <c r="D799" s="218"/>
      <c r="E799" s="219"/>
      <c r="F799" s="220"/>
      <c r="G799" s="221"/>
      <c r="H799" s="221"/>
      <c r="I799" s="222"/>
      <c r="J799" s="222"/>
      <c r="K799" s="222"/>
      <c r="L799" s="222"/>
      <c r="M799" s="222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customFormat="false" ht="14.25" hidden="false" customHeight="true" outlineLevel="0" collapsed="false">
      <c r="A800" s="217"/>
      <c r="B800" s="217"/>
      <c r="C800" s="217"/>
      <c r="D800" s="218"/>
      <c r="E800" s="219"/>
      <c r="F800" s="220"/>
      <c r="G800" s="221"/>
      <c r="H800" s="221"/>
      <c r="I800" s="222"/>
      <c r="J800" s="222"/>
      <c r="K800" s="222"/>
      <c r="L800" s="222"/>
      <c r="M800" s="222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customFormat="false" ht="14.25" hidden="false" customHeight="true" outlineLevel="0" collapsed="false">
      <c r="A801" s="217"/>
      <c r="B801" s="217"/>
      <c r="C801" s="217"/>
      <c r="D801" s="218"/>
      <c r="E801" s="219"/>
      <c r="F801" s="220"/>
      <c r="G801" s="221"/>
      <c r="H801" s="221"/>
      <c r="I801" s="222"/>
      <c r="J801" s="222"/>
      <c r="K801" s="222"/>
      <c r="L801" s="222"/>
      <c r="M801" s="222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customFormat="false" ht="14.25" hidden="false" customHeight="true" outlineLevel="0" collapsed="false">
      <c r="A802" s="217"/>
      <c r="B802" s="217"/>
      <c r="C802" s="217"/>
      <c r="D802" s="218"/>
      <c r="E802" s="219"/>
      <c r="F802" s="220"/>
      <c r="G802" s="221"/>
      <c r="H802" s="221"/>
      <c r="I802" s="222"/>
      <c r="J802" s="222"/>
      <c r="K802" s="222"/>
      <c r="L802" s="222"/>
      <c r="M802" s="222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customFormat="false" ht="14.25" hidden="false" customHeight="true" outlineLevel="0" collapsed="false">
      <c r="A803" s="217"/>
      <c r="B803" s="217"/>
      <c r="C803" s="217"/>
      <c r="D803" s="218"/>
      <c r="E803" s="219"/>
      <c r="F803" s="220"/>
      <c r="G803" s="221"/>
      <c r="H803" s="221"/>
      <c r="I803" s="222"/>
      <c r="J803" s="222"/>
      <c r="K803" s="222"/>
      <c r="L803" s="222"/>
      <c r="M803" s="222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customFormat="false" ht="14.25" hidden="false" customHeight="true" outlineLevel="0" collapsed="false">
      <c r="A804" s="217"/>
      <c r="B804" s="217"/>
      <c r="C804" s="217"/>
      <c r="D804" s="218"/>
      <c r="E804" s="219"/>
      <c r="F804" s="220"/>
      <c r="G804" s="221"/>
      <c r="H804" s="221"/>
      <c r="I804" s="222"/>
      <c r="J804" s="222"/>
      <c r="K804" s="222"/>
      <c r="L804" s="222"/>
      <c r="M804" s="222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customFormat="false" ht="14.25" hidden="false" customHeight="true" outlineLevel="0" collapsed="false">
      <c r="A805" s="217"/>
      <c r="B805" s="217"/>
      <c r="C805" s="217"/>
      <c r="D805" s="218"/>
      <c r="E805" s="219"/>
      <c r="F805" s="220"/>
      <c r="G805" s="221"/>
      <c r="H805" s="221"/>
      <c r="I805" s="222"/>
      <c r="J805" s="222"/>
      <c r="K805" s="222"/>
      <c r="L805" s="222"/>
      <c r="M805" s="222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customFormat="false" ht="14.25" hidden="false" customHeight="true" outlineLevel="0" collapsed="false">
      <c r="A806" s="217"/>
      <c r="B806" s="217"/>
      <c r="C806" s="217"/>
      <c r="D806" s="218"/>
      <c r="E806" s="219"/>
      <c r="F806" s="220"/>
      <c r="G806" s="221"/>
      <c r="H806" s="221"/>
      <c r="I806" s="222"/>
      <c r="J806" s="222"/>
      <c r="K806" s="222"/>
      <c r="L806" s="222"/>
      <c r="M806" s="222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customFormat="false" ht="14.25" hidden="false" customHeight="true" outlineLevel="0" collapsed="false">
      <c r="A807" s="217"/>
      <c r="B807" s="217"/>
      <c r="C807" s="217"/>
      <c r="D807" s="218"/>
      <c r="E807" s="219"/>
      <c r="F807" s="220"/>
      <c r="G807" s="221"/>
      <c r="H807" s="221"/>
      <c r="I807" s="222"/>
      <c r="J807" s="222"/>
      <c r="K807" s="222"/>
      <c r="L807" s="222"/>
      <c r="M807" s="222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customFormat="false" ht="14.25" hidden="false" customHeight="true" outlineLevel="0" collapsed="false">
      <c r="A808" s="217"/>
      <c r="B808" s="217"/>
      <c r="C808" s="217"/>
      <c r="D808" s="218"/>
      <c r="E808" s="219"/>
      <c r="F808" s="220"/>
      <c r="G808" s="221"/>
      <c r="H808" s="221"/>
      <c r="I808" s="222"/>
      <c r="J808" s="222"/>
      <c r="K808" s="222"/>
      <c r="L808" s="222"/>
      <c r="M808" s="222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customFormat="false" ht="14.25" hidden="false" customHeight="true" outlineLevel="0" collapsed="false">
      <c r="A809" s="217"/>
      <c r="B809" s="217"/>
      <c r="C809" s="217"/>
      <c r="D809" s="218"/>
      <c r="E809" s="219"/>
      <c r="F809" s="220"/>
      <c r="G809" s="221"/>
      <c r="H809" s="221"/>
      <c r="I809" s="222"/>
      <c r="J809" s="222"/>
      <c r="K809" s="222"/>
      <c r="L809" s="222"/>
      <c r="M809" s="222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customFormat="false" ht="14.25" hidden="false" customHeight="true" outlineLevel="0" collapsed="false">
      <c r="A810" s="217"/>
      <c r="B810" s="217"/>
      <c r="C810" s="217"/>
      <c r="D810" s="218"/>
      <c r="E810" s="219"/>
      <c r="F810" s="220"/>
      <c r="G810" s="221"/>
      <c r="H810" s="221"/>
      <c r="I810" s="222"/>
      <c r="J810" s="222"/>
      <c r="K810" s="222"/>
      <c r="L810" s="222"/>
      <c r="M810" s="222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customFormat="false" ht="14.25" hidden="false" customHeight="true" outlineLevel="0" collapsed="false">
      <c r="A811" s="217"/>
      <c r="B811" s="217"/>
      <c r="C811" s="217"/>
      <c r="D811" s="218"/>
      <c r="E811" s="219"/>
      <c r="F811" s="220"/>
      <c r="G811" s="221"/>
      <c r="H811" s="221"/>
      <c r="I811" s="222"/>
      <c r="J811" s="222"/>
      <c r="K811" s="222"/>
      <c r="L811" s="222"/>
      <c r="M811" s="222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customFormat="false" ht="14.25" hidden="false" customHeight="true" outlineLevel="0" collapsed="false">
      <c r="A812" s="217"/>
      <c r="B812" s="217"/>
      <c r="C812" s="217"/>
      <c r="D812" s="218"/>
      <c r="E812" s="219"/>
      <c r="F812" s="220"/>
      <c r="G812" s="221"/>
      <c r="H812" s="221"/>
      <c r="I812" s="222"/>
      <c r="J812" s="222"/>
      <c r="K812" s="222"/>
      <c r="L812" s="222"/>
      <c r="M812" s="222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customFormat="false" ht="14.25" hidden="false" customHeight="true" outlineLevel="0" collapsed="false">
      <c r="A813" s="217"/>
      <c r="B813" s="217"/>
      <c r="C813" s="217"/>
      <c r="D813" s="218"/>
      <c r="E813" s="219"/>
      <c r="F813" s="220"/>
      <c r="G813" s="221"/>
      <c r="H813" s="221"/>
      <c r="I813" s="222"/>
      <c r="J813" s="222"/>
      <c r="K813" s="222"/>
      <c r="L813" s="222"/>
      <c r="M813" s="222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customFormat="false" ht="14.25" hidden="false" customHeight="true" outlineLevel="0" collapsed="false">
      <c r="A814" s="217"/>
      <c r="B814" s="217"/>
      <c r="C814" s="217"/>
      <c r="D814" s="218"/>
      <c r="E814" s="219"/>
      <c r="F814" s="220"/>
      <c r="G814" s="221"/>
      <c r="H814" s="221"/>
      <c r="I814" s="222"/>
      <c r="J814" s="222"/>
      <c r="K814" s="222"/>
      <c r="L814" s="222"/>
      <c r="M814" s="222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customFormat="false" ht="14.25" hidden="false" customHeight="true" outlineLevel="0" collapsed="false">
      <c r="A815" s="217"/>
      <c r="B815" s="217"/>
      <c r="C815" s="217"/>
      <c r="D815" s="218"/>
      <c r="E815" s="219"/>
      <c r="F815" s="220"/>
      <c r="G815" s="221"/>
      <c r="H815" s="221"/>
      <c r="I815" s="222"/>
      <c r="J815" s="222"/>
      <c r="K815" s="222"/>
      <c r="L815" s="222"/>
      <c r="M815" s="222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customFormat="false" ht="14.25" hidden="false" customHeight="true" outlineLevel="0" collapsed="false">
      <c r="A816" s="217"/>
      <c r="B816" s="217"/>
      <c r="C816" s="217"/>
      <c r="D816" s="218"/>
      <c r="E816" s="219"/>
      <c r="F816" s="220"/>
      <c r="G816" s="221"/>
      <c r="H816" s="221"/>
      <c r="I816" s="222"/>
      <c r="J816" s="222"/>
      <c r="K816" s="222"/>
      <c r="L816" s="222"/>
      <c r="M816" s="222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customFormat="false" ht="14.25" hidden="false" customHeight="true" outlineLevel="0" collapsed="false">
      <c r="A817" s="217"/>
      <c r="B817" s="217"/>
      <c r="C817" s="217"/>
      <c r="D817" s="218"/>
      <c r="E817" s="219"/>
      <c r="F817" s="220"/>
      <c r="G817" s="221"/>
      <c r="H817" s="221"/>
      <c r="I817" s="222"/>
      <c r="J817" s="222"/>
      <c r="K817" s="222"/>
      <c r="L817" s="222"/>
      <c r="M817" s="222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customFormat="false" ht="14.25" hidden="false" customHeight="true" outlineLevel="0" collapsed="false">
      <c r="A818" s="217"/>
      <c r="B818" s="217"/>
      <c r="C818" s="217"/>
      <c r="D818" s="218"/>
      <c r="E818" s="219"/>
      <c r="F818" s="220"/>
      <c r="G818" s="221"/>
      <c r="H818" s="221"/>
      <c r="I818" s="222"/>
      <c r="J818" s="222"/>
      <c r="K818" s="222"/>
      <c r="L818" s="222"/>
      <c r="M818" s="222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customFormat="false" ht="14.25" hidden="false" customHeight="true" outlineLevel="0" collapsed="false">
      <c r="A819" s="217"/>
      <c r="B819" s="217"/>
      <c r="C819" s="217"/>
      <c r="D819" s="218"/>
      <c r="E819" s="219"/>
      <c r="F819" s="220"/>
      <c r="G819" s="221"/>
      <c r="H819" s="221"/>
      <c r="I819" s="222"/>
      <c r="J819" s="222"/>
      <c r="K819" s="222"/>
      <c r="L819" s="222"/>
      <c r="M819" s="222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customFormat="false" ht="14.25" hidden="false" customHeight="true" outlineLevel="0" collapsed="false">
      <c r="A820" s="217"/>
      <c r="B820" s="217"/>
      <c r="C820" s="217"/>
      <c r="D820" s="218"/>
      <c r="E820" s="219"/>
      <c r="F820" s="220"/>
      <c r="G820" s="221"/>
      <c r="H820" s="221"/>
      <c r="I820" s="222"/>
      <c r="J820" s="222"/>
      <c r="K820" s="222"/>
      <c r="L820" s="222"/>
      <c r="M820" s="222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customFormat="false" ht="14.25" hidden="false" customHeight="true" outlineLevel="0" collapsed="false">
      <c r="A821" s="217"/>
      <c r="B821" s="217"/>
      <c r="C821" s="217"/>
      <c r="D821" s="218"/>
      <c r="E821" s="219"/>
      <c r="F821" s="220"/>
      <c r="G821" s="221"/>
      <c r="H821" s="221"/>
      <c r="I821" s="222"/>
      <c r="J821" s="222"/>
      <c r="K821" s="222"/>
      <c r="L821" s="222"/>
      <c r="M821" s="222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customFormat="false" ht="14.25" hidden="false" customHeight="true" outlineLevel="0" collapsed="false">
      <c r="A822" s="217"/>
      <c r="B822" s="217"/>
      <c r="C822" s="217"/>
      <c r="D822" s="218"/>
      <c r="E822" s="219"/>
      <c r="F822" s="220"/>
      <c r="G822" s="221"/>
      <c r="H822" s="221"/>
      <c r="I822" s="222"/>
      <c r="J822" s="222"/>
      <c r="K822" s="222"/>
      <c r="L822" s="222"/>
      <c r="M822" s="222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customFormat="false" ht="14.25" hidden="false" customHeight="true" outlineLevel="0" collapsed="false">
      <c r="A823" s="217"/>
      <c r="B823" s="217"/>
      <c r="C823" s="217"/>
      <c r="D823" s="218"/>
      <c r="E823" s="219"/>
      <c r="F823" s="220"/>
      <c r="G823" s="221"/>
      <c r="H823" s="221"/>
      <c r="I823" s="222"/>
      <c r="J823" s="222"/>
      <c r="K823" s="222"/>
      <c r="L823" s="222"/>
      <c r="M823" s="222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customFormat="false" ht="14.25" hidden="false" customHeight="true" outlineLevel="0" collapsed="false">
      <c r="A824" s="217"/>
      <c r="B824" s="217"/>
      <c r="C824" s="217"/>
      <c r="D824" s="218"/>
      <c r="E824" s="219"/>
      <c r="F824" s="220"/>
      <c r="G824" s="221"/>
      <c r="H824" s="221"/>
      <c r="I824" s="222"/>
      <c r="J824" s="222"/>
      <c r="K824" s="222"/>
      <c r="L824" s="222"/>
      <c r="M824" s="222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customFormat="false" ht="14.25" hidden="false" customHeight="true" outlineLevel="0" collapsed="false">
      <c r="A825" s="217"/>
      <c r="B825" s="217"/>
      <c r="C825" s="217"/>
      <c r="D825" s="218"/>
      <c r="E825" s="219"/>
      <c r="F825" s="220"/>
      <c r="G825" s="221"/>
      <c r="H825" s="221"/>
      <c r="I825" s="222"/>
      <c r="J825" s="222"/>
      <c r="K825" s="222"/>
      <c r="L825" s="222"/>
      <c r="M825" s="222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customFormat="false" ht="14.25" hidden="false" customHeight="true" outlineLevel="0" collapsed="false">
      <c r="A826" s="217"/>
      <c r="B826" s="217"/>
      <c r="C826" s="217"/>
      <c r="D826" s="218"/>
      <c r="E826" s="219"/>
      <c r="F826" s="220"/>
      <c r="G826" s="221"/>
      <c r="H826" s="221"/>
      <c r="I826" s="222"/>
      <c r="J826" s="222"/>
      <c r="K826" s="222"/>
      <c r="L826" s="222"/>
      <c r="M826" s="222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customFormat="false" ht="14.25" hidden="false" customHeight="true" outlineLevel="0" collapsed="false">
      <c r="A827" s="217"/>
      <c r="B827" s="217"/>
      <c r="C827" s="217"/>
      <c r="D827" s="218"/>
      <c r="E827" s="219"/>
      <c r="F827" s="220"/>
      <c r="G827" s="221"/>
      <c r="H827" s="221"/>
      <c r="I827" s="222"/>
      <c r="J827" s="222"/>
      <c r="K827" s="222"/>
      <c r="L827" s="222"/>
      <c r="M827" s="222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customFormat="false" ht="14.25" hidden="false" customHeight="true" outlineLevel="0" collapsed="false">
      <c r="A828" s="217"/>
      <c r="B828" s="217"/>
      <c r="C828" s="217"/>
      <c r="D828" s="218"/>
      <c r="E828" s="219"/>
      <c r="F828" s="220"/>
      <c r="G828" s="221"/>
      <c r="H828" s="221"/>
      <c r="I828" s="222"/>
      <c r="J828" s="222"/>
      <c r="K828" s="222"/>
      <c r="L828" s="222"/>
      <c r="M828" s="222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customFormat="false" ht="14.25" hidden="false" customHeight="true" outlineLevel="0" collapsed="false">
      <c r="A829" s="217"/>
      <c r="B829" s="217"/>
      <c r="C829" s="217"/>
      <c r="D829" s="218"/>
      <c r="E829" s="219"/>
      <c r="F829" s="220"/>
      <c r="G829" s="221"/>
      <c r="H829" s="221"/>
      <c r="I829" s="222"/>
      <c r="J829" s="222"/>
      <c r="K829" s="222"/>
      <c r="L829" s="222"/>
      <c r="M829" s="222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customFormat="false" ht="14.25" hidden="false" customHeight="true" outlineLevel="0" collapsed="false">
      <c r="A830" s="217"/>
      <c r="B830" s="217"/>
      <c r="C830" s="217"/>
      <c r="D830" s="218"/>
      <c r="E830" s="219"/>
      <c r="F830" s="220"/>
      <c r="G830" s="221"/>
      <c r="H830" s="221"/>
      <c r="I830" s="222"/>
      <c r="J830" s="222"/>
      <c r="K830" s="222"/>
      <c r="L830" s="222"/>
      <c r="M830" s="222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customFormat="false" ht="14.25" hidden="false" customHeight="true" outlineLevel="0" collapsed="false">
      <c r="A831" s="217"/>
      <c r="B831" s="217"/>
      <c r="C831" s="217"/>
      <c r="D831" s="218"/>
      <c r="E831" s="219"/>
      <c r="F831" s="220"/>
      <c r="G831" s="221"/>
      <c r="H831" s="221"/>
      <c r="I831" s="222"/>
      <c r="J831" s="222"/>
      <c r="K831" s="222"/>
      <c r="L831" s="222"/>
      <c r="M831" s="222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customFormat="false" ht="14.25" hidden="false" customHeight="true" outlineLevel="0" collapsed="false">
      <c r="A832" s="217"/>
      <c r="B832" s="217"/>
      <c r="C832" s="217"/>
      <c r="D832" s="218"/>
      <c r="E832" s="219"/>
      <c r="F832" s="220"/>
      <c r="G832" s="221"/>
      <c r="H832" s="221"/>
      <c r="I832" s="222"/>
      <c r="J832" s="222"/>
      <c r="K832" s="222"/>
      <c r="L832" s="222"/>
      <c r="M832" s="222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customFormat="false" ht="14.25" hidden="false" customHeight="true" outlineLevel="0" collapsed="false">
      <c r="A833" s="217"/>
      <c r="B833" s="217"/>
      <c r="C833" s="217"/>
      <c r="D833" s="218"/>
      <c r="E833" s="219"/>
      <c r="F833" s="220"/>
      <c r="G833" s="221"/>
      <c r="H833" s="221"/>
      <c r="I833" s="222"/>
      <c r="J833" s="222"/>
      <c r="K833" s="222"/>
      <c r="L833" s="222"/>
      <c r="M833" s="222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customFormat="false" ht="14.25" hidden="false" customHeight="true" outlineLevel="0" collapsed="false">
      <c r="A834" s="217"/>
      <c r="B834" s="217"/>
      <c r="C834" s="217"/>
      <c r="D834" s="218"/>
      <c r="E834" s="219"/>
      <c r="F834" s="220"/>
      <c r="G834" s="221"/>
      <c r="H834" s="221"/>
      <c r="I834" s="222"/>
      <c r="J834" s="222"/>
      <c r="K834" s="222"/>
      <c r="L834" s="222"/>
      <c r="M834" s="222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customFormat="false" ht="14.25" hidden="false" customHeight="true" outlineLevel="0" collapsed="false">
      <c r="A835" s="217"/>
      <c r="B835" s="217"/>
      <c r="C835" s="217"/>
      <c r="D835" s="218"/>
      <c r="E835" s="219"/>
      <c r="F835" s="220"/>
      <c r="G835" s="221"/>
      <c r="H835" s="221"/>
      <c r="I835" s="222"/>
      <c r="J835" s="222"/>
      <c r="K835" s="222"/>
      <c r="L835" s="222"/>
      <c r="M835" s="222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customFormat="false" ht="14.25" hidden="false" customHeight="true" outlineLevel="0" collapsed="false">
      <c r="A836" s="217"/>
      <c r="B836" s="217"/>
      <c r="C836" s="217"/>
      <c r="D836" s="218"/>
      <c r="E836" s="219"/>
      <c r="F836" s="220"/>
      <c r="G836" s="221"/>
      <c r="H836" s="221"/>
      <c r="I836" s="222"/>
      <c r="J836" s="222"/>
      <c r="K836" s="222"/>
      <c r="L836" s="222"/>
      <c r="M836" s="222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customFormat="false" ht="14.25" hidden="false" customHeight="true" outlineLevel="0" collapsed="false">
      <c r="A837" s="217"/>
      <c r="B837" s="217"/>
      <c r="C837" s="217"/>
      <c r="D837" s="218"/>
      <c r="E837" s="219"/>
      <c r="F837" s="220"/>
      <c r="G837" s="221"/>
      <c r="H837" s="221"/>
      <c r="I837" s="222"/>
      <c r="J837" s="222"/>
      <c r="K837" s="222"/>
      <c r="L837" s="222"/>
      <c r="M837" s="222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customFormat="false" ht="14.25" hidden="false" customHeight="true" outlineLevel="0" collapsed="false">
      <c r="A838" s="217"/>
      <c r="B838" s="217"/>
      <c r="C838" s="217"/>
      <c r="D838" s="218"/>
      <c r="E838" s="219"/>
      <c r="F838" s="220"/>
      <c r="G838" s="221"/>
      <c r="H838" s="221"/>
      <c r="I838" s="222"/>
      <c r="J838" s="222"/>
      <c r="K838" s="222"/>
      <c r="L838" s="222"/>
      <c r="M838" s="222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customFormat="false" ht="14.25" hidden="false" customHeight="true" outlineLevel="0" collapsed="false">
      <c r="A839" s="217"/>
      <c r="B839" s="217"/>
      <c r="C839" s="217"/>
      <c r="D839" s="218"/>
      <c r="E839" s="219"/>
      <c r="F839" s="220"/>
      <c r="G839" s="221"/>
      <c r="H839" s="221"/>
      <c r="I839" s="222"/>
      <c r="J839" s="222"/>
      <c r="K839" s="222"/>
      <c r="L839" s="222"/>
      <c r="M839" s="222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customFormat="false" ht="14.25" hidden="false" customHeight="true" outlineLevel="0" collapsed="false">
      <c r="A840" s="217"/>
      <c r="B840" s="217"/>
      <c r="C840" s="217"/>
      <c r="D840" s="218"/>
      <c r="E840" s="219"/>
      <c r="F840" s="220"/>
      <c r="G840" s="221"/>
      <c r="H840" s="221"/>
      <c r="I840" s="222"/>
      <c r="J840" s="222"/>
      <c r="K840" s="222"/>
      <c r="L840" s="222"/>
      <c r="M840" s="222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customFormat="false" ht="14.25" hidden="false" customHeight="true" outlineLevel="0" collapsed="false">
      <c r="A841" s="217"/>
      <c r="B841" s="217"/>
      <c r="C841" s="217"/>
      <c r="D841" s="218"/>
      <c r="E841" s="219"/>
      <c r="F841" s="220"/>
      <c r="G841" s="221"/>
      <c r="H841" s="221"/>
      <c r="I841" s="222"/>
      <c r="J841" s="222"/>
      <c r="K841" s="222"/>
      <c r="L841" s="222"/>
      <c r="M841" s="222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customFormat="false" ht="14.25" hidden="false" customHeight="true" outlineLevel="0" collapsed="false">
      <c r="A842" s="217"/>
      <c r="B842" s="217"/>
      <c r="C842" s="217"/>
      <c r="D842" s="218"/>
      <c r="E842" s="219"/>
      <c r="F842" s="220"/>
      <c r="G842" s="221"/>
      <c r="H842" s="221"/>
      <c r="I842" s="222"/>
      <c r="J842" s="222"/>
      <c r="K842" s="222"/>
      <c r="L842" s="222"/>
      <c r="M842" s="222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customFormat="false" ht="14.25" hidden="false" customHeight="true" outlineLevel="0" collapsed="false">
      <c r="A843" s="217"/>
      <c r="B843" s="217"/>
      <c r="C843" s="217"/>
      <c r="D843" s="218"/>
      <c r="E843" s="219"/>
      <c r="F843" s="220"/>
      <c r="G843" s="221"/>
      <c r="H843" s="221"/>
      <c r="I843" s="222"/>
      <c r="J843" s="222"/>
      <c r="K843" s="222"/>
      <c r="L843" s="222"/>
      <c r="M843" s="222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customFormat="false" ht="14.25" hidden="false" customHeight="true" outlineLevel="0" collapsed="false">
      <c r="A844" s="217"/>
      <c r="B844" s="217"/>
      <c r="C844" s="217"/>
      <c r="D844" s="218"/>
      <c r="E844" s="219"/>
      <c r="F844" s="220"/>
      <c r="G844" s="221"/>
      <c r="H844" s="221"/>
      <c r="I844" s="222"/>
      <c r="J844" s="222"/>
      <c r="K844" s="222"/>
      <c r="L844" s="222"/>
      <c r="M844" s="222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customFormat="false" ht="14.25" hidden="false" customHeight="true" outlineLevel="0" collapsed="false">
      <c r="A845" s="217"/>
      <c r="B845" s="217"/>
      <c r="C845" s="217"/>
      <c r="D845" s="218"/>
      <c r="E845" s="219"/>
      <c r="F845" s="220"/>
      <c r="G845" s="221"/>
      <c r="H845" s="221"/>
      <c r="I845" s="222"/>
      <c r="J845" s="222"/>
      <c r="K845" s="222"/>
      <c r="L845" s="222"/>
      <c r="M845" s="222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customFormat="false" ht="14.25" hidden="false" customHeight="true" outlineLevel="0" collapsed="false">
      <c r="A846" s="217"/>
      <c r="B846" s="217"/>
      <c r="C846" s="217"/>
      <c r="D846" s="218"/>
      <c r="E846" s="219"/>
      <c r="F846" s="220"/>
      <c r="G846" s="221"/>
      <c r="H846" s="221"/>
      <c r="I846" s="222"/>
      <c r="J846" s="222"/>
      <c r="K846" s="222"/>
      <c r="L846" s="222"/>
      <c r="M846" s="222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customFormat="false" ht="14.25" hidden="false" customHeight="true" outlineLevel="0" collapsed="false">
      <c r="A847" s="217"/>
      <c r="B847" s="217"/>
      <c r="C847" s="217"/>
      <c r="D847" s="218"/>
      <c r="E847" s="219"/>
      <c r="F847" s="220"/>
      <c r="G847" s="221"/>
      <c r="H847" s="221"/>
      <c r="I847" s="222"/>
      <c r="J847" s="222"/>
      <c r="K847" s="222"/>
      <c r="L847" s="222"/>
      <c r="M847" s="222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customFormat="false" ht="14.25" hidden="false" customHeight="true" outlineLevel="0" collapsed="false">
      <c r="A848" s="217"/>
      <c r="B848" s="217"/>
      <c r="C848" s="217"/>
      <c r="D848" s="218"/>
      <c r="E848" s="219"/>
      <c r="F848" s="220"/>
      <c r="G848" s="221"/>
      <c r="H848" s="221"/>
      <c r="I848" s="222"/>
      <c r="J848" s="222"/>
      <c r="K848" s="222"/>
      <c r="L848" s="222"/>
      <c r="M848" s="222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customFormat="false" ht="14.25" hidden="false" customHeight="true" outlineLevel="0" collapsed="false">
      <c r="A849" s="217"/>
      <c r="B849" s="217"/>
      <c r="C849" s="217"/>
      <c r="D849" s="218"/>
      <c r="E849" s="219"/>
      <c r="F849" s="220"/>
      <c r="G849" s="221"/>
      <c r="H849" s="221"/>
      <c r="I849" s="222"/>
      <c r="J849" s="222"/>
      <c r="K849" s="222"/>
      <c r="L849" s="222"/>
      <c r="M849" s="222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customFormat="false" ht="14.25" hidden="false" customHeight="true" outlineLevel="0" collapsed="false">
      <c r="A850" s="217"/>
      <c r="B850" s="217"/>
      <c r="C850" s="217"/>
      <c r="D850" s="218"/>
      <c r="E850" s="219"/>
      <c r="F850" s="220"/>
      <c r="G850" s="221"/>
      <c r="H850" s="221"/>
      <c r="I850" s="222"/>
      <c r="J850" s="222"/>
      <c r="K850" s="222"/>
      <c r="L850" s="222"/>
      <c r="M850" s="222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customFormat="false" ht="14.25" hidden="false" customHeight="true" outlineLevel="0" collapsed="false">
      <c r="A851" s="217"/>
      <c r="B851" s="217"/>
      <c r="C851" s="217"/>
      <c r="D851" s="218"/>
      <c r="E851" s="219"/>
      <c r="F851" s="220"/>
      <c r="G851" s="221"/>
      <c r="H851" s="221"/>
      <c r="I851" s="222"/>
      <c r="J851" s="222"/>
      <c r="K851" s="222"/>
      <c r="L851" s="222"/>
      <c r="M851" s="222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customFormat="false" ht="14.25" hidden="false" customHeight="true" outlineLevel="0" collapsed="false">
      <c r="A852" s="217"/>
      <c r="B852" s="217"/>
      <c r="C852" s="217"/>
      <c r="D852" s="218"/>
      <c r="E852" s="219"/>
      <c r="F852" s="220"/>
      <c r="G852" s="221"/>
      <c r="H852" s="221"/>
      <c r="I852" s="222"/>
      <c r="J852" s="222"/>
      <c r="K852" s="222"/>
      <c r="L852" s="222"/>
      <c r="M852" s="222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customFormat="false" ht="14.25" hidden="false" customHeight="true" outlineLevel="0" collapsed="false">
      <c r="A853" s="217"/>
      <c r="B853" s="217"/>
      <c r="C853" s="217"/>
      <c r="D853" s="218"/>
      <c r="E853" s="219"/>
      <c r="F853" s="220"/>
      <c r="G853" s="221"/>
      <c r="H853" s="221"/>
      <c r="I853" s="222"/>
      <c r="J853" s="222"/>
      <c r="K853" s="222"/>
      <c r="L853" s="222"/>
      <c r="M853" s="222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customFormat="false" ht="14.25" hidden="false" customHeight="true" outlineLevel="0" collapsed="false">
      <c r="A854" s="217"/>
      <c r="B854" s="217"/>
      <c r="C854" s="217"/>
      <c r="D854" s="218"/>
      <c r="E854" s="219"/>
      <c r="F854" s="220"/>
      <c r="G854" s="221"/>
      <c r="H854" s="221"/>
      <c r="I854" s="222"/>
      <c r="J854" s="222"/>
      <c r="K854" s="222"/>
      <c r="L854" s="222"/>
      <c r="M854" s="222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customFormat="false" ht="14.25" hidden="false" customHeight="true" outlineLevel="0" collapsed="false">
      <c r="A855" s="217"/>
      <c r="B855" s="217"/>
      <c r="C855" s="217"/>
      <c r="D855" s="218"/>
      <c r="E855" s="219"/>
      <c r="F855" s="220"/>
      <c r="G855" s="221"/>
      <c r="H855" s="221"/>
      <c r="I855" s="222"/>
      <c r="J855" s="222"/>
      <c r="K855" s="222"/>
      <c r="L855" s="222"/>
      <c r="M855" s="222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customFormat="false" ht="14.25" hidden="false" customHeight="true" outlineLevel="0" collapsed="false">
      <c r="A856" s="217"/>
      <c r="B856" s="217"/>
      <c r="C856" s="217"/>
      <c r="D856" s="218"/>
      <c r="E856" s="219"/>
      <c r="F856" s="220"/>
      <c r="G856" s="221"/>
      <c r="H856" s="221"/>
      <c r="I856" s="222"/>
      <c r="J856" s="222"/>
      <c r="K856" s="222"/>
      <c r="L856" s="222"/>
      <c r="M856" s="222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customFormat="false" ht="14.25" hidden="false" customHeight="true" outlineLevel="0" collapsed="false">
      <c r="A857" s="217"/>
      <c r="B857" s="217"/>
      <c r="C857" s="217"/>
      <c r="D857" s="218"/>
      <c r="E857" s="219"/>
      <c r="F857" s="220"/>
      <c r="G857" s="221"/>
      <c r="H857" s="221"/>
      <c r="I857" s="222"/>
      <c r="J857" s="222"/>
      <c r="K857" s="222"/>
      <c r="L857" s="222"/>
      <c r="M857" s="222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customFormat="false" ht="14.25" hidden="false" customHeight="true" outlineLevel="0" collapsed="false">
      <c r="A858" s="217"/>
      <c r="B858" s="217"/>
      <c r="C858" s="217"/>
      <c r="D858" s="218"/>
      <c r="E858" s="219"/>
      <c r="F858" s="220"/>
      <c r="G858" s="221"/>
      <c r="H858" s="221"/>
      <c r="I858" s="222"/>
      <c r="J858" s="222"/>
      <c r="K858" s="222"/>
      <c r="L858" s="222"/>
      <c r="M858" s="222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customFormat="false" ht="14.25" hidden="false" customHeight="true" outlineLevel="0" collapsed="false">
      <c r="A859" s="217"/>
      <c r="B859" s="217"/>
      <c r="C859" s="217"/>
      <c r="D859" s="218"/>
      <c r="E859" s="219"/>
      <c r="F859" s="220"/>
      <c r="G859" s="221"/>
      <c r="H859" s="221"/>
      <c r="I859" s="222"/>
      <c r="J859" s="222"/>
      <c r="K859" s="222"/>
      <c r="L859" s="222"/>
      <c r="M859" s="222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customFormat="false" ht="14.25" hidden="false" customHeight="true" outlineLevel="0" collapsed="false">
      <c r="A860" s="217"/>
      <c r="B860" s="217"/>
      <c r="C860" s="217"/>
      <c r="D860" s="218"/>
      <c r="E860" s="219"/>
      <c r="F860" s="220"/>
      <c r="G860" s="221"/>
      <c r="H860" s="221"/>
      <c r="I860" s="222"/>
      <c r="J860" s="222"/>
      <c r="K860" s="222"/>
      <c r="L860" s="222"/>
      <c r="M860" s="222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customFormat="false" ht="14.25" hidden="false" customHeight="true" outlineLevel="0" collapsed="false">
      <c r="A861" s="217"/>
      <c r="B861" s="217"/>
      <c r="C861" s="217"/>
      <c r="D861" s="218"/>
      <c r="E861" s="219"/>
      <c r="F861" s="220"/>
      <c r="G861" s="221"/>
      <c r="H861" s="221"/>
      <c r="I861" s="222"/>
      <c r="J861" s="222"/>
      <c r="K861" s="222"/>
      <c r="L861" s="222"/>
      <c r="M861" s="222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customFormat="false" ht="14.25" hidden="false" customHeight="true" outlineLevel="0" collapsed="false">
      <c r="A862" s="217"/>
      <c r="B862" s="217"/>
      <c r="C862" s="217"/>
      <c r="D862" s="218"/>
      <c r="E862" s="219"/>
      <c r="F862" s="220"/>
      <c r="G862" s="221"/>
      <c r="H862" s="221"/>
      <c r="I862" s="222"/>
      <c r="J862" s="222"/>
      <c r="K862" s="222"/>
      <c r="L862" s="222"/>
      <c r="M862" s="222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customFormat="false" ht="14.25" hidden="false" customHeight="true" outlineLevel="0" collapsed="false">
      <c r="A863" s="217"/>
      <c r="B863" s="217"/>
      <c r="C863" s="217"/>
      <c r="D863" s="218"/>
      <c r="E863" s="219"/>
      <c r="F863" s="220"/>
      <c r="G863" s="221"/>
      <c r="H863" s="221"/>
      <c r="I863" s="222"/>
      <c r="J863" s="222"/>
      <c r="K863" s="222"/>
      <c r="L863" s="222"/>
      <c r="M863" s="222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customFormat="false" ht="14.25" hidden="false" customHeight="true" outlineLevel="0" collapsed="false">
      <c r="A864" s="217"/>
      <c r="B864" s="217"/>
      <c r="C864" s="217"/>
      <c r="D864" s="218"/>
      <c r="E864" s="219"/>
      <c r="F864" s="220"/>
      <c r="G864" s="221"/>
      <c r="H864" s="221"/>
      <c r="I864" s="222"/>
      <c r="J864" s="222"/>
      <c r="K864" s="222"/>
      <c r="L864" s="222"/>
      <c r="M864" s="222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customFormat="false" ht="14.25" hidden="false" customHeight="true" outlineLevel="0" collapsed="false">
      <c r="A865" s="217"/>
      <c r="B865" s="217"/>
      <c r="C865" s="217"/>
      <c r="D865" s="218"/>
      <c r="E865" s="219"/>
      <c r="F865" s="220"/>
      <c r="G865" s="221"/>
      <c r="H865" s="221"/>
      <c r="I865" s="222"/>
      <c r="J865" s="222"/>
      <c r="K865" s="222"/>
      <c r="L865" s="222"/>
      <c r="M865" s="222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customFormat="false" ht="14.25" hidden="false" customHeight="true" outlineLevel="0" collapsed="false">
      <c r="A866" s="217"/>
      <c r="B866" s="217"/>
      <c r="C866" s="217"/>
      <c r="D866" s="218"/>
      <c r="E866" s="219"/>
      <c r="F866" s="220"/>
      <c r="G866" s="221"/>
      <c r="H866" s="221"/>
      <c r="I866" s="222"/>
      <c r="J866" s="222"/>
      <c r="K866" s="222"/>
      <c r="L866" s="222"/>
      <c r="M866" s="222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customFormat="false" ht="14.25" hidden="false" customHeight="true" outlineLevel="0" collapsed="false">
      <c r="A867" s="217"/>
      <c r="B867" s="217"/>
      <c r="C867" s="217"/>
      <c r="D867" s="218"/>
      <c r="E867" s="219"/>
      <c r="F867" s="220"/>
      <c r="G867" s="221"/>
      <c r="H867" s="221"/>
      <c r="I867" s="222"/>
      <c r="J867" s="222"/>
      <c r="K867" s="222"/>
      <c r="L867" s="222"/>
      <c r="M867" s="222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customFormat="false" ht="14.25" hidden="false" customHeight="true" outlineLevel="0" collapsed="false">
      <c r="A868" s="217"/>
      <c r="B868" s="217"/>
      <c r="C868" s="217"/>
      <c r="D868" s="218"/>
      <c r="E868" s="219"/>
      <c r="F868" s="220"/>
      <c r="G868" s="221"/>
      <c r="H868" s="221"/>
      <c r="I868" s="222"/>
      <c r="J868" s="222"/>
      <c r="K868" s="222"/>
      <c r="L868" s="222"/>
      <c r="M868" s="222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customFormat="false" ht="14.25" hidden="false" customHeight="true" outlineLevel="0" collapsed="false">
      <c r="A869" s="217"/>
      <c r="B869" s="217"/>
      <c r="C869" s="217"/>
      <c r="D869" s="218"/>
      <c r="E869" s="219"/>
      <c r="F869" s="220"/>
      <c r="G869" s="221"/>
      <c r="H869" s="221"/>
      <c r="I869" s="222"/>
      <c r="J869" s="222"/>
      <c r="K869" s="222"/>
      <c r="L869" s="222"/>
      <c r="M869" s="222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customFormat="false" ht="14.25" hidden="false" customHeight="true" outlineLevel="0" collapsed="false">
      <c r="A870" s="217"/>
      <c r="B870" s="217"/>
      <c r="C870" s="217"/>
      <c r="D870" s="218"/>
      <c r="E870" s="219"/>
      <c r="F870" s="220"/>
      <c r="G870" s="221"/>
      <c r="H870" s="221"/>
      <c r="I870" s="222"/>
      <c r="J870" s="222"/>
      <c r="K870" s="222"/>
      <c r="L870" s="222"/>
      <c r="M870" s="222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customFormat="false" ht="14.25" hidden="false" customHeight="true" outlineLevel="0" collapsed="false">
      <c r="A871" s="217"/>
      <c r="B871" s="217"/>
      <c r="C871" s="217"/>
      <c r="D871" s="218"/>
      <c r="E871" s="219"/>
      <c r="F871" s="220"/>
      <c r="G871" s="221"/>
      <c r="H871" s="221"/>
      <c r="I871" s="222"/>
      <c r="J871" s="222"/>
      <c r="K871" s="222"/>
      <c r="L871" s="222"/>
      <c r="M871" s="222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customFormat="false" ht="14.25" hidden="false" customHeight="true" outlineLevel="0" collapsed="false">
      <c r="A872" s="217"/>
      <c r="B872" s="217"/>
      <c r="C872" s="217"/>
      <c r="D872" s="218"/>
      <c r="E872" s="219"/>
      <c r="F872" s="220"/>
      <c r="G872" s="221"/>
      <c r="H872" s="221"/>
      <c r="I872" s="222"/>
      <c r="J872" s="222"/>
      <c r="K872" s="222"/>
      <c r="L872" s="222"/>
      <c r="M872" s="222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customFormat="false" ht="14.25" hidden="false" customHeight="true" outlineLevel="0" collapsed="false">
      <c r="A873" s="217"/>
      <c r="B873" s="217"/>
      <c r="C873" s="217"/>
      <c r="D873" s="218"/>
      <c r="E873" s="219"/>
      <c r="F873" s="220"/>
      <c r="G873" s="221"/>
      <c r="H873" s="221"/>
      <c r="I873" s="222"/>
      <c r="J873" s="222"/>
      <c r="K873" s="222"/>
      <c r="L873" s="222"/>
      <c r="M873" s="222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customFormat="false" ht="14.25" hidden="false" customHeight="true" outlineLevel="0" collapsed="false">
      <c r="A874" s="217"/>
      <c r="B874" s="217"/>
      <c r="C874" s="217"/>
      <c r="D874" s="218"/>
      <c r="E874" s="219"/>
      <c r="F874" s="220"/>
      <c r="G874" s="221"/>
      <c r="H874" s="221"/>
      <c r="I874" s="222"/>
      <c r="J874" s="222"/>
      <c r="K874" s="222"/>
      <c r="L874" s="222"/>
      <c r="M874" s="222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customFormat="false" ht="14.25" hidden="false" customHeight="true" outlineLevel="0" collapsed="false">
      <c r="A875" s="217"/>
      <c r="B875" s="217"/>
      <c r="C875" s="217"/>
      <c r="D875" s="218"/>
      <c r="E875" s="219"/>
      <c r="F875" s="220"/>
      <c r="G875" s="221"/>
      <c r="H875" s="221"/>
      <c r="I875" s="222"/>
      <c r="J875" s="222"/>
      <c r="K875" s="222"/>
      <c r="L875" s="222"/>
      <c r="M875" s="222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customFormat="false" ht="14.25" hidden="false" customHeight="true" outlineLevel="0" collapsed="false">
      <c r="A876" s="217"/>
      <c r="B876" s="217"/>
      <c r="C876" s="217"/>
      <c r="D876" s="218"/>
      <c r="E876" s="219"/>
      <c r="F876" s="220"/>
      <c r="G876" s="221"/>
      <c r="H876" s="221"/>
      <c r="I876" s="222"/>
      <c r="J876" s="222"/>
      <c r="K876" s="222"/>
      <c r="L876" s="222"/>
      <c r="M876" s="222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customFormat="false" ht="14.25" hidden="false" customHeight="true" outlineLevel="0" collapsed="false">
      <c r="A877" s="217"/>
      <c r="B877" s="217"/>
      <c r="C877" s="217"/>
      <c r="D877" s="218"/>
      <c r="E877" s="219"/>
      <c r="F877" s="220"/>
      <c r="G877" s="221"/>
      <c r="H877" s="221"/>
      <c r="I877" s="222"/>
      <c r="J877" s="222"/>
      <c r="K877" s="222"/>
      <c r="L877" s="222"/>
      <c r="M877" s="222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customFormat="false" ht="14.25" hidden="false" customHeight="true" outlineLevel="0" collapsed="false">
      <c r="A878" s="217"/>
      <c r="B878" s="217"/>
      <c r="C878" s="217"/>
      <c r="D878" s="218"/>
      <c r="E878" s="219"/>
      <c r="F878" s="220"/>
      <c r="G878" s="221"/>
      <c r="H878" s="221"/>
      <c r="I878" s="222"/>
      <c r="J878" s="222"/>
      <c r="K878" s="222"/>
      <c r="L878" s="222"/>
      <c r="M878" s="222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customFormat="false" ht="14.25" hidden="false" customHeight="true" outlineLevel="0" collapsed="false">
      <c r="A879" s="217"/>
      <c r="B879" s="217"/>
      <c r="C879" s="217"/>
      <c r="D879" s="218"/>
      <c r="E879" s="219"/>
      <c r="F879" s="220"/>
      <c r="G879" s="221"/>
      <c r="H879" s="221"/>
      <c r="I879" s="222"/>
      <c r="J879" s="222"/>
      <c r="K879" s="222"/>
      <c r="L879" s="222"/>
      <c r="M879" s="222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customFormat="false" ht="14.25" hidden="false" customHeight="true" outlineLevel="0" collapsed="false">
      <c r="A880" s="217"/>
      <c r="B880" s="217"/>
      <c r="C880" s="217"/>
      <c r="D880" s="218"/>
      <c r="E880" s="219"/>
      <c r="F880" s="220"/>
      <c r="G880" s="221"/>
      <c r="H880" s="221"/>
      <c r="I880" s="222"/>
      <c r="J880" s="222"/>
      <c r="K880" s="222"/>
      <c r="L880" s="222"/>
      <c r="M880" s="222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customFormat="false" ht="14.25" hidden="false" customHeight="true" outlineLevel="0" collapsed="false">
      <c r="A881" s="217"/>
      <c r="B881" s="217"/>
      <c r="C881" s="217"/>
      <c r="D881" s="218"/>
      <c r="E881" s="219"/>
      <c r="F881" s="220"/>
      <c r="G881" s="221"/>
      <c r="H881" s="221"/>
      <c r="I881" s="222"/>
      <c r="J881" s="222"/>
      <c r="K881" s="222"/>
      <c r="L881" s="222"/>
      <c r="M881" s="222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customFormat="false" ht="14.25" hidden="false" customHeight="true" outlineLevel="0" collapsed="false">
      <c r="A882" s="217"/>
      <c r="B882" s="217"/>
      <c r="C882" s="217"/>
      <c r="D882" s="218"/>
      <c r="E882" s="219"/>
      <c r="F882" s="220"/>
      <c r="G882" s="221"/>
      <c r="H882" s="221"/>
      <c r="I882" s="222"/>
      <c r="J882" s="222"/>
      <c r="K882" s="222"/>
      <c r="L882" s="222"/>
      <c r="M882" s="222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customFormat="false" ht="14.25" hidden="false" customHeight="true" outlineLevel="0" collapsed="false">
      <c r="A883" s="217"/>
      <c r="B883" s="217"/>
      <c r="C883" s="217"/>
      <c r="D883" s="218"/>
      <c r="E883" s="219"/>
      <c r="F883" s="220"/>
      <c r="G883" s="221"/>
      <c r="H883" s="221"/>
      <c r="I883" s="222"/>
      <c r="J883" s="222"/>
      <c r="K883" s="222"/>
      <c r="L883" s="222"/>
      <c r="M883" s="222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customFormat="false" ht="14.25" hidden="false" customHeight="true" outlineLevel="0" collapsed="false">
      <c r="A884" s="217"/>
      <c r="B884" s="217"/>
      <c r="C884" s="217"/>
      <c r="D884" s="218"/>
      <c r="E884" s="219"/>
      <c r="F884" s="220"/>
      <c r="G884" s="221"/>
      <c r="H884" s="221"/>
      <c r="I884" s="222"/>
      <c r="J884" s="222"/>
      <c r="K884" s="222"/>
      <c r="L884" s="222"/>
      <c r="M884" s="222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customFormat="false" ht="14.25" hidden="false" customHeight="true" outlineLevel="0" collapsed="false">
      <c r="A885" s="217"/>
      <c r="B885" s="217"/>
      <c r="C885" s="217"/>
      <c r="D885" s="218"/>
      <c r="E885" s="219"/>
      <c r="F885" s="220"/>
      <c r="G885" s="221"/>
      <c r="H885" s="221"/>
      <c r="I885" s="222"/>
      <c r="J885" s="222"/>
      <c r="K885" s="222"/>
      <c r="L885" s="222"/>
      <c r="M885" s="222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customFormat="false" ht="14.25" hidden="false" customHeight="true" outlineLevel="0" collapsed="false">
      <c r="A886" s="217"/>
      <c r="B886" s="217"/>
      <c r="C886" s="217"/>
      <c r="D886" s="218"/>
      <c r="E886" s="219"/>
      <c r="F886" s="220"/>
      <c r="G886" s="221"/>
      <c r="H886" s="221"/>
      <c r="I886" s="222"/>
      <c r="J886" s="222"/>
      <c r="K886" s="222"/>
      <c r="L886" s="222"/>
      <c r="M886" s="222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customFormat="false" ht="14.25" hidden="false" customHeight="true" outlineLevel="0" collapsed="false">
      <c r="A887" s="217"/>
      <c r="B887" s="217"/>
      <c r="C887" s="217"/>
      <c r="D887" s="218"/>
      <c r="E887" s="219"/>
      <c r="F887" s="220"/>
      <c r="G887" s="221"/>
      <c r="H887" s="221"/>
      <c r="I887" s="222"/>
      <c r="J887" s="222"/>
      <c r="K887" s="222"/>
      <c r="L887" s="222"/>
      <c r="M887" s="222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customFormat="false" ht="14.25" hidden="false" customHeight="true" outlineLevel="0" collapsed="false">
      <c r="A888" s="217"/>
      <c r="B888" s="217"/>
      <c r="C888" s="217"/>
      <c r="D888" s="218"/>
      <c r="E888" s="219"/>
      <c r="F888" s="220"/>
      <c r="G888" s="221"/>
      <c r="H888" s="221"/>
      <c r="I888" s="222"/>
      <c r="J888" s="222"/>
      <c r="K888" s="222"/>
      <c r="L888" s="222"/>
      <c r="M888" s="222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customFormat="false" ht="14.25" hidden="false" customHeight="true" outlineLevel="0" collapsed="false">
      <c r="A889" s="217"/>
      <c r="B889" s="217"/>
      <c r="C889" s="217"/>
      <c r="D889" s="218"/>
      <c r="E889" s="219"/>
      <c r="F889" s="220"/>
      <c r="G889" s="221"/>
      <c r="H889" s="221"/>
      <c r="I889" s="222"/>
      <c r="J889" s="222"/>
      <c r="K889" s="222"/>
      <c r="L889" s="222"/>
      <c r="M889" s="222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customFormat="false" ht="14.25" hidden="false" customHeight="true" outlineLevel="0" collapsed="false">
      <c r="A890" s="217"/>
      <c r="B890" s="217"/>
      <c r="C890" s="217"/>
      <c r="D890" s="218"/>
      <c r="E890" s="219"/>
      <c r="F890" s="220"/>
      <c r="G890" s="221"/>
      <c r="H890" s="221"/>
      <c r="I890" s="222"/>
      <c r="J890" s="222"/>
      <c r="K890" s="222"/>
      <c r="L890" s="222"/>
      <c r="M890" s="222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customFormat="false" ht="14.25" hidden="false" customHeight="true" outlineLevel="0" collapsed="false">
      <c r="A891" s="217"/>
      <c r="B891" s="217"/>
      <c r="C891" s="217"/>
      <c r="D891" s="218"/>
      <c r="E891" s="219"/>
      <c r="F891" s="220"/>
      <c r="G891" s="221"/>
      <c r="H891" s="221"/>
      <c r="I891" s="222"/>
      <c r="J891" s="222"/>
      <c r="K891" s="222"/>
      <c r="L891" s="222"/>
      <c r="M891" s="222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customFormat="false" ht="14.25" hidden="false" customHeight="true" outlineLevel="0" collapsed="false">
      <c r="A892" s="217"/>
      <c r="B892" s="217"/>
      <c r="C892" s="217"/>
      <c r="D892" s="218"/>
      <c r="E892" s="219"/>
      <c r="F892" s="220"/>
      <c r="G892" s="221"/>
      <c r="H892" s="221"/>
      <c r="I892" s="222"/>
      <c r="J892" s="222"/>
      <c r="K892" s="222"/>
      <c r="L892" s="222"/>
      <c r="M892" s="222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customFormat="false" ht="14.25" hidden="false" customHeight="true" outlineLevel="0" collapsed="false">
      <c r="A893" s="217"/>
      <c r="B893" s="217"/>
      <c r="C893" s="217"/>
      <c r="D893" s="218"/>
      <c r="E893" s="219"/>
      <c r="F893" s="220"/>
      <c r="G893" s="221"/>
      <c r="H893" s="221"/>
      <c r="I893" s="222"/>
      <c r="J893" s="222"/>
      <c r="K893" s="222"/>
      <c r="L893" s="222"/>
      <c r="M893" s="222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customFormat="false" ht="14.25" hidden="false" customHeight="true" outlineLevel="0" collapsed="false">
      <c r="A894" s="217"/>
      <c r="B894" s="217"/>
      <c r="C894" s="217"/>
      <c r="D894" s="218"/>
      <c r="E894" s="219"/>
      <c r="F894" s="220"/>
      <c r="G894" s="221"/>
      <c r="H894" s="221"/>
      <c r="I894" s="222"/>
      <c r="J894" s="222"/>
      <c r="K894" s="222"/>
      <c r="L894" s="222"/>
      <c r="M894" s="222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customFormat="false" ht="14.25" hidden="false" customHeight="true" outlineLevel="0" collapsed="false">
      <c r="A895" s="217"/>
      <c r="B895" s="217"/>
      <c r="C895" s="217"/>
      <c r="D895" s="218"/>
      <c r="E895" s="219"/>
      <c r="F895" s="220"/>
      <c r="G895" s="221"/>
      <c r="H895" s="221"/>
      <c r="I895" s="222"/>
      <c r="J895" s="222"/>
      <c r="K895" s="222"/>
      <c r="L895" s="222"/>
      <c r="M895" s="222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customFormat="false" ht="14.25" hidden="false" customHeight="true" outlineLevel="0" collapsed="false">
      <c r="A896" s="217"/>
      <c r="B896" s="217"/>
      <c r="C896" s="217"/>
      <c r="D896" s="218"/>
      <c r="E896" s="219"/>
      <c r="F896" s="220"/>
      <c r="G896" s="221"/>
      <c r="H896" s="221"/>
      <c r="I896" s="222"/>
      <c r="J896" s="222"/>
      <c r="K896" s="222"/>
      <c r="L896" s="222"/>
      <c r="M896" s="222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customFormat="false" ht="14.25" hidden="false" customHeight="true" outlineLevel="0" collapsed="false">
      <c r="A897" s="217"/>
      <c r="B897" s="217"/>
      <c r="C897" s="217"/>
      <c r="D897" s="218"/>
      <c r="E897" s="219"/>
      <c r="F897" s="220"/>
      <c r="G897" s="221"/>
      <c r="H897" s="221"/>
      <c r="I897" s="222"/>
      <c r="J897" s="222"/>
      <c r="K897" s="222"/>
      <c r="L897" s="222"/>
      <c r="M897" s="222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customFormat="false" ht="14.25" hidden="false" customHeight="true" outlineLevel="0" collapsed="false">
      <c r="A898" s="217"/>
      <c r="B898" s="217"/>
      <c r="C898" s="217"/>
      <c r="D898" s="218"/>
      <c r="E898" s="219"/>
      <c r="F898" s="220"/>
      <c r="G898" s="221"/>
      <c r="H898" s="221"/>
      <c r="I898" s="222"/>
      <c r="J898" s="222"/>
      <c r="K898" s="222"/>
      <c r="L898" s="222"/>
      <c r="M898" s="222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customFormat="false" ht="14.25" hidden="false" customHeight="true" outlineLevel="0" collapsed="false">
      <c r="A899" s="217"/>
      <c r="B899" s="217"/>
      <c r="C899" s="217"/>
      <c r="D899" s="218"/>
      <c r="E899" s="219"/>
      <c r="F899" s="220"/>
      <c r="G899" s="221"/>
      <c r="H899" s="221"/>
      <c r="I899" s="222"/>
      <c r="J899" s="222"/>
      <c r="K899" s="222"/>
      <c r="L899" s="222"/>
      <c r="M899" s="222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customFormat="false" ht="14.25" hidden="false" customHeight="true" outlineLevel="0" collapsed="false">
      <c r="A900" s="217"/>
      <c r="B900" s="217"/>
      <c r="C900" s="217"/>
      <c r="D900" s="218"/>
      <c r="E900" s="219"/>
      <c r="F900" s="220"/>
      <c r="G900" s="221"/>
      <c r="H900" s="221"/>
      <c r="I900" s="222"/>
      <c r="J900" s="222"/>
      <c r="K900" s="222"/>
      <c r="L900" s="222"/>
      <c r="M900" s="222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customFormat="false" ht="14.25" hidden="false" customHeight="true" outlineLevel="0" collapsed="false">
      <c r="A901" s="217"/>
      <c r="B901" s="217"/>
      <c r="C901" s="217"/>
      <c r="D901" s="218"/>
      <c r="E901" s="219"/>
      <c r="F901" s="220"/>
      <c r="G901" s="221"/>
      <c r="H901" s="221"/>
      <c r="I901" s="222"/>
      <c r="J901" s="222"/>
      <c r="K901" s="222"/>
      <c r="L901" s="222"/>
      <c r="M901" s="222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customFormat="false" ht="14.25" hidden="false" customHeight="true" outlineLevel="0" collapsed="false">
      <c r="A902" s="217"/>
      <c r="B902" s="217"/>
      <c r="C902" s="217"/>
      <c r="D902" s="218"/>
      <c r="E902" s="219"/>
      <c r="F902" s="220"/>
      <c r="G902" s="221"/>
      <c r="H902" s="221"/>
      <c r="I902" s="222"/>
      <c r="J902" s="222"/>
      <c r="K902" s="222"/>
      <c r="L902" s="222"/>
      <c r="M902" s="222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customFormat="false" ht="14.25" hidden="false" customHeight="true" outlineLevel="0" collapsed="false">
      <c r="A903" s="217"/>
      <c r="B903" s="217"/>
      <c r="C903" s="217"/>
      <c r="D903" s="218"/>
      <c r="E903" s="219"/>
      <c r="F903" s="220"/>
      <c r="G903" s="221"/>
      <c r="H903" s="221"/>
      <c r="I903" s="222"/>
      <c r="J903" s="222"/>
      <c r="K903" s="222"/>
      <c r="L903" s="222"/>
      <c r="M903" s="222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customFormat="false" ht="14.25" hidden="false" customHeight="true" outlineLevel="0" collapsed="false">
      <c r="A904" s="217"/>
      <c r="B904" s="217"/>
      <c r="C904" s="217"/>
      <c r="D904" s="218"/>
      <c r="E904" s="219"/>
      <c r="F904" s="220"/>
      <c r="G904" s="221"/>
      <c r="H904" s="221"/>
      <c r="I904" s="222"/>
      <c r="J904" s="222"/>
      <c r="K904" s="222"/>
      <c r="L904" s="222"/>
      <c r="M904" s="222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customFormat="false" ht="14.25" hidden="false" customHeight="true" outlineLevel="0" collapsed="false">
      <c r="A905" s="217"/>
      <c r="B905" s="217"/>
      <c r="C905" s="217"/>
      <c r="D905" s="218"/>
      <c r="E905" s="219"/>
      <c r="F905" s="220"/>
      <c r="G905" s="221"/>
      <c r="H905" s="221"/>
      <c r="I905" s="222"/>
      <c r="J905" s="222"/>
      <c r="K905" s="222"/>
      <c r="L905" s="222"/>
      <c r="M905" s="222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customFormat="false" ht="14.25" hidden="false" customHeight="true" outlineLevel="0" collapsed="false">
      <c r="A906" s="217"/>
      <c r="B906" s="217"/>
      <c r="C906" s="217"/>
      <c r="D906" s="218"/>
      <c r="E906" s="219"/>
      <c r="F906" s="220"/>
      <c r="G906" s="221"/>
      <c r="H906" s="221"/>
      <c r="I906" s="222"/>
      <c r="J906" s="222"/>
      <c r="K906" s="222"/>
      <c r="L906" s="222"/>
      <c r="M906" s="222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customFormat="false" ht="14.25" hidden="false" customHeight="true" outlineLevel="0" collapsed="false">
      <c r="A907" s="217"/>
      <c r="B907" s="217"/>
      <c r="C907" s="217"/>
      <c r="D907" s="218"/>
      <c r="E907" s="219"/>
      <c r="F907" s="220"/>
      <c r="G907" s="221"/>
      <c r="H907" s="221"/>
      <c r="I907" s="222"/>
      <c r="J907" s="222"/>
      <c r="K907" s="222"/>
      <c r="L907" s="222"/>
      <c r="M907" s="222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customFormat="false" ht="14.25" hidden="false" customHeight="true" outlineLevel="0" collapsed="false">
      <c r="A908" s="217"/>
      <c r="B908" s="217"/>
      <c r="C908" s="217"/>
      <c r="D908" s="218"/>
      <c r="E908" s="219"/>
      <c r="F908" s="220"/>
      <c r="G908" s="221"/>
      <c r="H908" s="221"/>
      <c r="I908" s="222"/>
      <c r="J908" s="222"/>
      <c r="K908" s="222"/>
      <c r="L908" s="222"/>
      <c r="M908" s="222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customFormat="false" ht="14.25" hidden="false" customHeight="true" outlineLevel="0" collapsed="false">
      <c r="A909" s="217"/>
      <c r="B909" s="217"/>
      <c r="C909" s="217"/>
      <c r="D909" s="218"/>
      <c r="E909" s="219"/>
      <c r="F909" s="220"/>
      <c r="G909" s="221"/>
      <c r="H909" s="221"/>
      <c r="I909" s="222"/>
      <c r="J909" s="222"/>
      <c r="K909" s="222"/>
      <c r="L909" s="222"/>
      <c r="M909" s="222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customFormat="false" ht="14.25" hidden="false" customHeight="true" outlineLevel="0" collapsed="false">
      <c r="A910" s="217"/>
      <c r="B910" s="217"/>
      <c r="C910" s="217"/>
      <c r="D910" s="218"/>
      <c r="E910" s="219"/>
      <c r="F910" s="220"/>
      <c r="G910" s="221"/>
      <c r="H910" s="221"/>
      <c r="I910" s="222"/>
      <c r="J910" s="222"/>
      <c r="K910" s="222"/>
      <c r="L910" s="222"/>
      <c r="M910" s="222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customFormat="false" ht="14.25" hidden="false" customHeight="true" outlineLevel="0" collapsed="false">
      <c r="A911" s="217"/>
      <c r="B911" s="217"/>
      <c r="C911" s="217"/>
      <c r="D911" s="218"/>
      <c r="E911" s="219"/>
      <c r="F911" s="220"/>
      <c r="G911" s="221"/>
      <c r="H911" s="221"/>
      <c r="I911" s="222"/>
      <c r="J911" s="222"/>
      <c r="K911" s="222"/>
      <c r="L911" s="222"/>
      <c r="M911" s="222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customFormat="false" ht="14.25" hidden="false" customHeight="true" outlineLevel="0" collapsed="false">
      <c r="A912" s="217"/>
      <c r="B912" s="217"/>
      <c r="C912" s="217"/>
      <c r="D912" s="218"/>
      <c r="E912" s="219"/>
      <c r="F912" s="220"/>
      <c r="G912" s="221"/>
      <c r="H912" s="221"/>
      <c r="I912" s="222"/>
      <c r="J912" s="222"/>
      <c r="K912" s="222"/>
      <c r="L912" s="222"/>
      <c r="M912" s="222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customFormat="false" ht="14.25" hidden="false" customHeight="true" outlineLevel="0" collapsed="false">
      <c r="A913" s="217"/>
      <c r="B913" s="217"/>
      <c r="C913" s="217"/>
      <c r="D913" s="218"/>
      <c r="E913" s="219"/>
      <c r="F913" s="220"/>
      <c r="G913" s="221"/>
      <c r="H913" s="221"/>
      <c r="I913" s="222"/>
      <c r="J913" s="222"/>
      <c r="K913" s="222"/>
      <c r="L913" s="222"/>
      <c r="M913" s="222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customFormat="false" ht="14.25" hidden="false" customHeight="true" outlineLevel="0" collapsed="false">
      <c r="A914" s="217"/>
      <c r="B914" s="217"/>
      <c r="C914" s="217"/>
      <c r="D914" s="218"/>
      <c r="E914" s="219"/>
      <c r="F914" s="220"/>
      <c r="G914" s="221"/>
      <c r="H914" s="221"/>
      <c r="I914" s="222"/>
      <c r="J914" s="222"/>
      <c r="K914" s="222"/>
      <c r="L914" s="222"/>
      <c r="M914" s="222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customFormat="false" ht="14.25" hidden="false" customHeight="true" outlineLevel="0" collapsed="false">
      <c r="A915" s="217"/>
      <c r="B915" s="217"/>
      <c r="C915" s="217"/>
      <c r="D915" s="218"/>
      <c r="E915" s="219"/>
      <c r="F915" s="220"/>
      <c r="G915" s="221"/>
      <c r="H915" s="221"/>
      <c r="I915" s="222"/>
      <c r="J915" s="222"/>
      <c r="K915" s="222"/>
      <c r="L915" s="222"/>
      <c r="M915" s="222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customFormat="false" ht="14.25" hidden="false" customHeight="true" outlineLevel="0" collapsed="false">
      <c r="A916" s="217"/>
      <c r="B916" s="217"/>
      <c r="C916" s="217"/>
      <c r="D916" s="218"/>
      <c r="E916" s="219"/>
      <c r="F916" s="220"/>
      <c r="G916" s="221"/>
      <c r="H916" s="221"/>
      <c r="I916" s="222"/>
      <c r="J916" s="222"/>
      <c r="K916" s="222"/>
      <c r="L916" s="222"/>
      <c r="M916" s="222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customFormat="false" ht="14.25" hidden="false" customHeight="true" outlineLevel="0" collapsed="false">
      <c r="A917" s="217"/>
      <c r="B917" s="217"/>
      <c r="C917" s="217"/>
      <c r="D917" s="218"/>
      <c r="E917" s="219"/>
      <c r="F917" s="220"/>
      <c r="G917" s="221"/>
      <c r="H917" s="221"/>
      <c r="I917" s="222"/>
      <c r="J917" s="222"/>
      <c r="K917" s="222"/>
      <c r="L917" s="222"/>
      <c r="M917" s="222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customFormat="false" ht="14.25" hidden="false" customHeight="true" outlineLevel="0" collapsed="false">
      <c r="A918" s="217"/>
      <c r="B918" s="217"/>
      <c r="C918" s="217"/>
      <c r="D918" s="218"/>
      <c r="E918" s="219"/>
      <c r="F918" s="220"/>
      <c r="G918" s="221"/>
      <c r="H918" s="221"/>
      <c r="I918" s="222"/>
      <c r="J918" s="222"/>
      <c r="K918" s="222"/>
      <c r="L918" s="222"/>
      <c r="M918" s="222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customFormat="false" ht="14.25" hidden="false" customHeight="true" outlineLevel="0" collapsed="false">
      <c r="A919" s="217"/>
      <c r="B919" s="217"/>
      <c r="C919" s="217"/>
      <c r="D919" s="218"/>
      <c r="E919" s="219"/>
      <c r="F919" s="220"/>
      <c r="G919" s="221"/>
      <c r="H919" s="221"/>
      <c r="I919" s="222"/>
      <c r="J919" s="222"/>
      <c r="K919" s="222"/>
      <c r="L919" s="222"/>
      <c r="M919" s="222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customFormat="false" ht="14.25" hidden="false" customHeight="true" outlineLevel="0" collapsed="false">
      <c r="A920" s="217"/>
      <c r="B920" s="217"/>
      <c r="C920" s="217"/>
      <c r="D920" s="218"/>
      <c r="E920" s="219"/>
      <c r="F920" s="220"/>
      <c r="G920" s="221"/>
      <c r="H920" s="221"/>
      <c r="I920" s="222"/>
      <c r="J920" s="222"/>
      <c r="K920" s="222"/>
      <c r="L920" s="222"/>
      <c r="M920" s="222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customFormat="false" ht="14.25" hidden="false" customHeight="true" outlineLevel="0" collapsed="false">
      <c r="A921" s="217"/>
      <c r="B921" s="217"/>
      <c r="C921" s="217"/>
      <c r="D921" s="218"/>
      <c r="E921" s="219"/>
      <c r="F921" s="220"/>
      <c r="G921" s="221"/>
      <c r="H921" s="221"/>
      <c r="I921" s="222"/>
      <c r="J921" s="222"/>
      <c r="K921" s="222"/>
      <c r="L921" s="222"/>
      <c r="M921" s="222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customFormat="false" ht="14.25" hidden="false" customHeight="true" outlineLevel="0" collapsed="false">
      <c r="A922" s="217"/>
      <c r="B922" s="217"/>
      <c r="C922" s="217"/>
      <c r="D922" s="218"/>
      <c r="E922" s="219"/>
      <c r="F922" s="220"/>
      <c r="G922" s="221"/>
      <c r="H922" s="221"/>
      <c r="I922" s="222"/>
      <c r="J922" s="222"/>
      <c r="K922" s="222"/>
      <c r="L922" s="222"/>
      <c r="M922" s="222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customFormat="false" ht="14.25" hidden="false" customHeight="true" outlineLevel="0" collapsed="false">
      <c r="A923" s="217"/>
      <c r="B923" s="217"/>
      <c r="C923" s="217"/>
      <c r="D923" s="218"/>
      <c r="E923" s="219"/>
      <c r="F923" s="220"/>
      <c r="G923" s="221"/>
      <c r="H923" s="221"/>
      <c r="I923" s="222"/>
      <c r="J923" s="222"/>
      <c r="K923" s="222"/>
      <c r="L923" s="222"/>
      <c r="M923" s="222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customFormat="false" ht="14.25" hidden="false" customHeight="true" outlineLevel="0" collapsed="false">
      <c r="A924" s="217"/>
      <c r="B924" s="217"/>
      <c r="C924" s="217"/>
      <c r="D924" s="218"/>
      <c r="E924" s="219"/>
      <c r="F924" s="220"/>
      <c r="G924" s="221"/>
      <c r="H924" s="221"/>
      <c r="I924" s="222"/>
      <c r="J924" s="222"/>
      <c r="K924" s="222"/>
      <c r="L924" s="222"/>
      <c r="M924" s="222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customFormat="false" ht="14.25" hidden="false" customHeight="true" outlineLevel="0" collapsed="false">
      <c r="A925" s="217"/>
      <c r="B925" s="217"/>
      <c r="C925" s="217"/>
      <c r="D925" s="218"/>
      <c r="E925" s="219"/>
      <c r="F925" s="220"/>
      <c r="G925" s="221"/>
      <c r="H925" s="221"/>
      <c r="I925" s="222"/>
      <c r="J925" s="222"/>
      <c r="K925" s="222"/>
      <c r="L925" s="222"/>
      <c r="M925" s="222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customFormat="false" ht="14.25" hidden="false" customHeight="true" outlineLevel="0" collapsed="false">
      <c r="A926" s="217"/>
      <c r="B926" s="217"/>
      <c r="C926" s="217"/>
      <c r="D926" s="218"/>
      <c r="E926" s="219"/>
      <c r="F926" s="220"/>
      <c r="G926" s="221"/>
      <c r="H926" s="221"/>
      <c r="I926" s="222"/>
      <c r="J926" s="222"/>
      <c r="K926" s="222"/>
      <c r="L926" s="222"/>
      <c r="M926" s="222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customFormat="false" ht="14.25" hidden="false" customHeight="true" outlineLevel="0" collapsed="false">
      <c r="A927" s="217"/>
      <c r="B927" s="217"/>
      <c r="C927" s="217"/>
      <c r="D927" s="218"/>
      <c r="E927" s="219"/>
      <c r="F927" s="220"/>
      <c r="G927" s="221"/>
      <c r="H927" s="221"/>
      <c r="I927" s="222"/>
      <c r="J927" s="222"/>
      <c r="K927" s="222"/>
      <c r="L927" s="222"/>
      <c r="M927" s="222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customFormat="false" ht="14.25" hidden="false" customHeight="true" outlineLevel="0" collapsed="false">
      <c r="A928" s="217"/>
      <c r="B928" s="217"/>
      <c r="C928" s="217"/>
      <c r="D928" s="218"/>
      <c r="E928" s="219"/>
      <c r="F928" s="220"/>
      <c r="G928" s="221"/>
      <c r="H928" s="221"/>
      <c r="I928" s="222"/>
      <c r="J928" s="222"/>
      <c r="K928" s="222"/>
      <c r="L928" s="222"/>
      <c r="M928" s="222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customFormat="false" ht="14.25" hidden="false" customHeight="true" outlineLevel="0" collapsed="false">
      <c r="A929" s="217"/>
      <c r="B929" s="217"/>
      <c r="C929" s="217"/>
      <c r="D929" s="218"/>
      <c r="E929" s="219"/>
      <c r="F929" s="220"/>
      <c r="G929" s="221"/>
      <c r="H929" s="221"/>
      <c r="I929" s="222"/>
      <c r="J929" s="222"/>
      <c r="K929" s="222"/>
      <c r="L929" s="222"/>
      <c r="M929" s="222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customFormat="false" ht="14.25" hidden="false" customHeight="true" outlineLevel="0" collapsed="false">
      <c r="A930" s="217"/>
      <c r="B930" s="217"/>
      <c r="C930" s="217"/>
      <c r="D930" s="218"/>
      <c r="E930" s="219"/>
      <c r="F930" s="220"/>
      <c r="G930" s="221"/>
      <c r="H930" s="221"/>
      <c r="I930" s="222"/>
      <c r="J930" s="222"/>
      <c r="K930" s="222"/>
      <c r="L930" s="222"/>
      <c r="M930" s="222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customFormat="false" ht="14.25" hidden="false" customHeight="true" outlineLevel="0" collapsed="false">
      <c r="A931" s="217"/>
      <c r="B931" s="217"/>
      <c r="C931" s="217"/>
      <c r="D931" s="218"/>
      <c r="E931" s="219"/>
      <c r="F931" s="220"/>
      <c r="G931" s="221"/>
      <c r="H931" s="221"/>
      <c r="I931" s="222"/>
      <c r="J931" s="222"/>
      <c r="K931" s="222"/>
      <c r="L931" s="222"/>
      <c r="M931" s="222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customFormat="false" ht="14.25" hidden="false" customHeight="true" outlineLevel="0" collapsed="false">
      <c r="A932" s="217"/>
      <c r="B932" s="217"/>
      <c r="C932" s="217"/>
      <c r="D932" s="218"/>
      <c r="E932" s="219"/>
      <c r="F932" s="220"/>
      <c r="G932" s="221"/>
      <c r="H932" s="221"/>
      <c r="I932" s="222"/>
      <c r="J932" s="222"/>
      <c r="K932" s="222"/>
      <c r="L932" s="222"/>
      <c r="M932" s="222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customFormat="false" ht="14.25" hidden="false" customHeight="true" outlineLevel="0" collapsed="false">
      <c r="A933" s="217"/>
      <c r="B933" s="217"/>
      <c r="C933" s="217"/>
      <c r="D933" s="218"/>
      <c r="E933" s="219"/>
      <c r="F933" s="220"/>
      <c r="G933" s="221"/>
      <c r="H933" s="221"/>
      <c r="I933" s="222"/>
      <c r="J933" s="222"/>
      <c r="K933" s="222"/>
      <c r="L933" s="222"/>
      <c r="M933" s="222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customFormat="false" ht="14.25" hidden="false" customHeight="true" outlineLevel="0" collapsed="false">
      <c r="A934" s="217"/>
      <c r="B934" s="217"/>
      <c r="C934" s="217"/>
      <c r="D934" s="218"/>
      <c r="E934" s="219"/>
      <c r="F934" s="220"/>
      <c r="G934" s="221"/>
      <c r="H934" s="221"/>
      <c r="I934" s="222"/>
      <c r="J934" s="222"/>
      <c r="K934" s="222"/>
      <c r="L934" s="222"/>
      <c r="M934" s="222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customFormat="false" ht="14.25" hidden="false" customHeight="true" outlineLevel="0" collapsed="false">
      <c r="A935" s="217"/>
      <c r="B935" s="217"/>
      <c r="C935" s="217"/>
      <c r="D935" s="218"/>
      <c r="E935" s="219"/>
      <c r="F935" s="220"/>
      <c r="G935" s="221"/>
      <c r="H935" s="221"/>
      <c r="I935" s="222"/>
      <c r="J935" s="222"/>
      <c r="K935" s="222"/>
      <c r="L935" s="222"/>
      <c r="M935" s="222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customFormat="false" ht="14.25" hidden="false" customHeight="true" outlineLevel="0" collapsed="false">
      <c r="A936" s="217"/>
      <c r="B936" s="217"/>
      <c r="C936" s="217"/>
      <c r="D936" s="218"/>
      <c r="E936" s="219"/>
      <c r="F936" s="220"/>
      <c r="G936" s="221"/>
      <c r="H936" s="221"/>
      <c r="I936" s="222"/>
      <c r="J936" s="222"/>
      <c r="K936" s="222"/>
      <c r="L936" s="222"/>
      <c r="M936" s="222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customFormat="false" ht="14.25" hidden="false" customHeight="true" outlineLevel="0" collapsed="false">
      <c r="A937" s="217"/>
      <c r="B937" s="217"/>
      <c r="C937" s="217"/>
      <c r="D937" s="218"/>
      <c r="E937" s="219"/>
      <c r="F937" s="220"/>
      <c r="G937" s="221"/>
      <c r="H937" s="221"/>
      <c r="I937" s="222"/>
      <c r="J937" s="222"/>
      <c r="K937" s="222"/>
      <c r="L937" s="222"/>
      <c r="M937" s="222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customFormat="false" ht="14.25" hidden="false" customHeight="true" outlineLevel="0" collapsed="false">
      <c r="A938" s="217"/>
      <c r="B938" s="217"/>
      <c r="C938" s="217"/>
      <c r="D938" s="218"/>
      <c r="E938" s="219"/>
      <c r="F938" s="220"/>
      <c r="G938" s="221"/>
      <c r="H938" s="221"/>
      <c r="I938" s="222"/>
      <c r="J938" s="222"/>
      <c r="K938" s="222"/>
      <c r="L938" s="222"/>
      <c r="M938" s="222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customFormat="false" ht="14.25" hidden="false" customHeight="true" outlineLevel="0" collapsed="false">
      <c r="A939" s="217"/>
      <c r="B939" s="217"/>
      <c r="C939" s="217"/>
      <c r="D939" s="218"/>
      <c r="E939" s="219"/>
      <c r="F939" s="220"/>
      <c r="G939" s="221"/>
      <c r="H939" s="221"/>
      <c r="I939" s="222"/>
      <c r="J939" s="222"/>
      <c r="K939" s="222"/>
      <c r="L939" s="222"/>
      <c r="M939" s="222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customFormat="false" ht="14.25" hidden="false" customHeight="true" outlineLevel="0" collapsed="false">
      <c r="A940" s="217"/>
      <c r="B940" s="217"/>
      <c r="C940" s="217"/>
      <c r="D940" s="218"/>
      <c r="E940" s="219"/>
      <c r="F940" s="220"/>
      <c r="G940" s="221"/>
      <c r="H940" s="221"/>
      <c r="I940" s="222"/>
      <c r="J940" s="222"/>
      <c r="K940" s="222"/>
      <c r="L940" s="222"/>
      <c r="M940" s="222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customFormat="false" ht="14.25" hidden="false" customHeight="true" outlineLevel="0" collapsed="false">
      <c r="A941" s="217"/>
      <c r="B941" s="217"/>
      <c r="C941" s="217"/>
      <c r="D941" s="218"/>
      <c r="E941" s="219"/>
      <c r="F941" s="220"/>
      <c r="G941" s="221"/>
      <c r="H941" s="221"/>
      <c r="I941" s="222"/>
      <c r="J941" s="222"/>
      <c r="K941" s="222"/>
      <c r="L941" s="222"/>
      <c r="M941" s="222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customFormat="false" ht="14.25" hidden="false" customHeight="true" outlineLevel="0" collapsed="false">
      <c r="A942" s="217"/>
      <c r="B942" s="217"/>
      <c r="C942" s="217"/>
      <c r="D942" s="218"/>
      <c r="E942" s="219"/>
      <c r="F942" s="220"/>
      <c r="G942" s="221"/>
      <c r="H942" s="221"/>
      <c r="I942" s="222"/>
      <c r="J942" s="222"/>
      <c r="K942" s="222"/>
      <c r="L942" s="222"/>
      <c r="M942" s="222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customFormat="false" ht="14.25" hidden="false" customHeight="true" outlineLevel="0" collapsed="false">
      <c r="A943" s="217"/>
      <c r="B943" s="217"/>
      <c r="C943" s="217"/>
      <c r="D943" s="218"/>
      <c r="E943" s="219"/>
      <c r="F943" s="220"/>
      <c r="G943" s="221"/>
      <c r="H943" s="221"/>
      <c r="I943" s="222"/>
      <c r="J943" s="222"/>
      <c r="K943" s="222"/>
      <c r="L943" s="222"/>
      <c r="M943" s="222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customFormat="false" ht="14.25" hidden="false" customHeight="true" outlineLevel="0" collapsed="false">
      <c r="A944" s="217"/>
      <c r="B944" s="217"/>
      <c r="C944" s="217"/>
      <c r="D944" s="218"/>
      <c r="E944" s="219"/>
      <c r="F944" s="220"/>
      <c r="G944" s="221"/>
      <c r="H944" s="221"/>
      <c r="I944" s="222"/>
      <c r="J944" s="222"/>
      <c r="K944" s="222"/>
      <c r="L944" s="222"/>
      <c r="M944" s="222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customFormat="false" ht="14.25" hidden="false" customHeight="true" outlineLevel="0" collapsed="false">
      <c r="A945" s="217"/>
      <c r="B945" s="217"/>
      <c r="C945" s="217"/>
      <c r="D945" s="218"/>
      <c r="E945" s="219"/>
      <c r="F945" s="220"/>
      <c r="G945" s="221"/>
      <c r="H945" s="221"/>
      <c r="I945" s="222"/>
      <c r="J945" s="222"/>
      <c r="K945" s="222"/>
      <c r="L945" s="222"/>
      <c r="M945" s="222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customFormat="false" ht="14.25" hidden="false" customHeight="true" outlineLevel="0" collapsed="false">
      <c r="A946" s="217"/>
      <c r="B946" s="217"/>
      <c r="C946" s="217"/>
      <c r="D946" s="218"/>
      <c r="E946" s="219"/>
      <c r="F946" s="220"/>
      <c r="G946" s="221"/>
      <c r="H946" s="221"/>
      <c r="I946" s="222"/>
      <c r="J946" s="222"/>
      <c r="K946" s="222"/>
      <c r="L946" s="222"/>
      <c r="M946" s="222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customFormat="false" ht="14.25" hidden="false" customHeight="true" outlineLevel="0" collapsed="false">
      <c r="A947" s="217"/>
      <c r="B947" s="217"/>
      <c r="C947" s="217"/>
      <c r="D947" s="218"/>
      <c r="E947" s="219"/>
      <c r="F947" s="220"/>
      <c r="G947" s="221"/>
      <c r="H947" s="221"/>
      <c r="I947" s="222"/>
      <c r="J947" s="222"/>
      <c r="K947" s="222"/>
      <c r="L947" s="222"/>
      <c r="M947" s="222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customFormat="false" ht="14.25" hidden="false" customHeight="true" outlineLevel="0" collapsed="false">
      <c r="A948" s="217"/>
      <c r="B948" s="217"/>
      <c r="C948" s="217"/>
      <c r="D948" s="218"/>
      <c r="E948" s="219"/>
      <c r="F948" s="220"/>
      <c r="G948" s="221"/>
      <c r="H948" s="221"/>
      <c r="I948" s="222"/>
      <c r="J948" s="222"/>
      <c r="K948" s="222"/>
      <c r="L948" s="222"/>
      <c r="M948" s="222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customFormat="false" ht="14.25" hidden="false" customHeight="true" outlineLevel="0" collapsed="false">
      <c r="A949" s="217"/>
      <c r="B949" s="217"/>
      <c r="C949" s="217"/>
      <c r="D949" s="218"/>
      <c r="E949" s="219"/>
      <c r="F949" s="220"/>
      <c r="G949" s="221"/>
      <c r="H949" s="221"/>
      <c r="I949" s="222"/>
      <c r="J949" s="222"/>
      <c r="K949" s="222"/>
      <c r="L949" s="222"/>
      <c r="M949" s="222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customFormat="false" ht="14.25" hidden="false" customHeight="true" outlineLevel="0" collapsed="false">
      <c r="A950" s="217"/>
      <c r="B950" s="217"/>
      <c r="C950" s="217"/>
      <c r="D950" s="218"/>
      <c r="E950" s="219"/>
      <c r="F950" s="220"/>
      <c r="G950" s="221"/>
      <c r="H950" s="221"/>
      <c r="I950" s="222"/>
      <c r="J950" s="222"/>
      <c r="K950" s="222"/>
      <c r="L950" s="222"/>
      <c r="M950" s="222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customFormat="false" ht="14.25" hidden="false" customHeight="true" outlineLevel="0" collapsed="false">
      <c r="A951" s="217"/>
      <c r="B951" s="217"/>
      <c r="C951" s="217"/>
      <c r="D951" s="218"/>
      <c r="E951" s="219"/>
      <c r="F951" s="220"/>
      <c r="G951" s="221"/>
      <c r="H951" s="221"/>
      <c r="I951" s="222"/>
      <c r="J951" s="222"/>
      <c r="K951" s="222"/>
      <c r="L951" s="222"/>
      <c r="M951" s="222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customFormat="false" ht="14.25" hidden="false" customHeight="true" outlineLevel="0" collapsed="false">
      <c r="A952" s="217"/>
      <c r="B952" s="217"/>
      <c r="C952" s="217"/>
      <c r="D952" s="218"/>
      <c r="E952" s="219"/>
      <c r="F952" s="220"/>
      <c r="G952" s="221"/>
      <c r="H952" s="221"/>
      <c r="I952" s="222"/>
      <c r="J952" s="222"/>
      <c r="K952" s="222"/>
      <c r="L952" s="222"/>
      <c r="M952" s="222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customFormat="false" ht="14.25" hidden="false" customHeight="true" outlineLevel="0" collapsed="false">
      <c r="A953" s="217"/>
      <c r="B953" s="217"/>
      <c r="C953" s="217"/>
      <c r="D953" s="218"/>
      <c r="E953" s="219"/>
      <c r="F953" s="220"/>
      <c r="G953" s="221"/>
      <c r="H953" s="221"/>
      <c r="I953" s="222"/>
      <c r="J953" s="222"/>
      <c r="K953" s="222"/>
      <c r="L953" s="222"/>
      <c r="M953" s="222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customFormat="false" ht="14.25" hidden="false" customHeight="true" outlineLevel="0" collapsed="false">
      <c r="A954" s="217"/>
      <c r="B954" s="217"/>
      <c r="C954" s="217"/>
      <c r="D954" s="218"/>
      <c r="E954" s="219"/>
      <c r="F954" s="220"/>
      <c r="G954" s="221"/>
      <c r="H954" s="221"/>
      <c r="I954" s="222"/>
      <c r="J954" s="222"/>
      <c r="K954" s="222"/>
      <c r="L954" s="222"/>
      <c r="M954" s="222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customFormat="false" ht="14.25" hidden="false" customHeight="true" outlineLevel="0" collapsed="false">
      <c r="A955" s="217"/>
      <c r="B955" s="217"/>
      <c r="C955" s="217"/>
      <c r="D955" s="218"/>
      <c r="E955" s="219"/>
      <c r="F955" s="220"/>
      <c r="G955" s="221"/>
      <c r="H955" s="221"/>
      <c r="I955" s="222"/>
      <c r="J955" s="222"/>
      <c r="K955" s="222"/>
      <c r="L955" s="222"/>
      <c r="M955" s="222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customFormat="false" ht="14.25" hidden="false" customHeight="true" outlineLevel="0" collapsed="false">
      <c r="A956" s="217"/>
      <c r="B956" s="217"/>
      <c r="C956" s="217"/>
      <c r="D956" s="218"/>
      <c r="E956" s="219"/>
      <c r="F956" s="220"/>
      <c r="G956" s="221"/>
      <c r="H956" s="221"/>
      <c r="I956" s="222"/>
      <c r="J956" s="222"/>
      <c r="K956" s="222"/>
      <c r="L956" s="222"/>
      <c r="M956" s="222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customFormat="false" ht="14.25" hidden="false" customHeight="true" outlineLevel="0" collapsed="false">
      <c r="A957" s="217"/>
      <c r="B957" s="217"/>
      <c r="C957" s="217"/>
      <c r="D957" s="218"/>
      <c r="E957" s="219"/>
      <c r="F957" s="220"/>
      <c r="G957" s="221"/>
      <c r="H957" s="221"/>
      <c r="I957" s="222"/>
      <c r="J957" s="222"/>
      <c r="K957" s="222"/>
      <c r="L957" s="222"/>
      <c r="M957" s="222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customFormat="false" ht="14.25" hidden="false" customHeight="true" outlineLevel="0" collapsed="false">
      <c r="A958" s="217"/>
      <c r="B958" s="217"/>
      <c r="C958" s="217"/>
      <c r="D958" s="218"/>
      <c r="E958" s="219"/>
      <c r="F958" s="220"/>
      <c r="G958" s="221"/>
      <c r="H958" s="221"/>
      <c r="I958" s="222"/>
      <c r="J958" s="222"/>
      <c r="K958" s="222"/>
      <c r="L958" s="222"/>
      <c r="M958" s="222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customFormat="false" ht="14.25" hidden="false" customHeight="true" outlineLevel="0" collapsed="false">
      <c r="A959" s="217"/>
      <c r="B959" s="217"/>
      <c r="C959" s="217"/>
      <c r="D959" s="218"/>
      <c r="E959" s="219"/>
      <c r="F959" s="220"/>
      <c r="G959" s="221"/>
      <c r="H959" s="221"/>
      <c r="I959" s="222"/>
      <c r="J959" s="222"/>
      <c r="K959" s="222"/>
      <c r="L959" s="222"/>
      <c r="M959" s="222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customFormat="false" ht="14.25" hidden="false" customHeight="true" outlineLevel="0" collapsed="false">
      <c r="A960" s="217"/>
      <c r="B960" s="217"/>
      <c r="C960" s="217"/>
      <c r="D960" s="218"/>
      <c r="E960" s="219"/>
      <c r="F960" s="220"/>
      <c r="G960" s="221"/>
      <c r="H960" s="221"/>
      <c r="I960" s="222"/>
      <c r="J960" s="222"/>
      <c r="K960" s="222"/>
      <c r="L960" s="222"/>
      <c r="M960" s="222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customFormat="false" ht="14.25" hidden="false" customHeight="true" outlineLevel="0" collapsed="false">
      <c r="A961" s="217"/>
      <c r="B961" s="217"/>
      <c r="C961" s="217"/>
      <c r="D961" s="218"/>
      <c r="E961" s="219"/>
      <c r="F961" s="220"/>
      <c r="G961" s="221"/>
      <c r="H961" s="221"/>
      <c r="I961" s="222"/>
      <c r="J961" s="222"/>
      <c r="K961" s="222"/>
      <c r="L961" s="222"/>
      <c r="M961" s="222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customFormat="false" ht="14.25" hidden="false" customHeight="true" outlineLevel="0" collapsed="false">
      <c r="A962" s="217"/>
      <c r="B962" s="217"/>
      <c r="C962" s="217"/>
      <c r="D962" s="218"/>
      <c r="E962" s="219"/>
      <c r="F962" s="220"/>
      <c r="G962" s="221"/>
      <c r="H962" s="221"/>
      <c r="I962" s="222"/>
      <c r="J962" s="222"/>
      <c r="K962" s="222"/>
      <c r="L962" s="222"/>
      <c r="M962" s="222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customFormat="false" ht="14.25" hidden="false" customHeight="true" outlineLevel="0" collapsed="false">
      <c r="A963" s="217"/>
      <c r="B963" s="217"/>
      <c r="C963" s="217"/>
      <c r="D963" s="218"/>
      <c r="E963" s="219"/>
      <c r="F963" s="220"/>
      <c r="G963" s="221"/>
      <c r="H963" s="221"/>
      <c r="I963" s="222"/>
      <c r="J963" s="222"/>
      <c r="K963" s="222"/>
      <c r="L963" s="222"/>
      <c r="M963" s="222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customFormat="false" ht="14.25" hidden="false" customHeight="true" outlineLevel="0" collapsed="false">
      <c r="A964" s="217"/>
      <c r="B964" s="217"/>
      <c r="C964" s="217"/>
      <c r="D964" s="218"/>
      <c r="E964" s="219"/>
      <c r="F964" s="220"/>
      <c r="G964" s="221"/>
      <c r="H964" s="221"/>
      <c r="I964" s="222"/>
      <c r="J964" s="222"/>
      <c r="K964" s="222"/>
      <c r="L964" s="222"/>
      <c r="M964" s="222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customFormat="false" ht="14.25" hidden="false" customHeight="true" outlineLevel="0" collapsed="false">
      <c r="A965" s="217"/>
      <c r="B965" s="217"/>
      <c r="C965" s="217"/>
      <c r="D965" s="218"/>
      <c r="E965" s="219"/>
      <c r="F965" s="220"/>
      <c r="G965" s="221"/>
      <c r="H965" s="221"/>
      <c r="I965" s="222"/>
      <c r="J965" s="222"/>
      <c r="K965" s="222"/>
      <c r="L965" s="222"/>
      <c r="M965" s="222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customFormat="false" ht="14.25" hidden="false" customHeight="true" outlineLevel="0" collapsed="false">
      <c r="A966" s="217"/>
      <c r="B966" s="217"/>
      <c r="C966" s="217"/>
      <c r="D966" s="218"/>
      <c r="E966" s="219"/>
      <c r="F966" s="220"/>
      <c r="G966" s="221"/>
      <c r="H966" s="221"/>
      <c r="I966" s="222"/>
      <c r="J966" s="222"/>
      <c r="K966" s="222"/>
      <c r="L966" s="222"/>
      <c r="M966" s="222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customFormat="false" ht="14.25" hidden="false" customHeight="true" outlineLevel="0" collapsed="false">
      <c r="A967" s="217"/>
      <c r="B967" s="217"/>
      <c r="C967" s="217"/>
      <c r="D967" s="218"/>
      <c r="E967" s="219"/>
      <c r="F967" s="220"/>
      <c r="G967" s="221"/>
      <c r="H967" s="221"/>
      <c r="I967" s="222"/>
      <c r="J967" s="222"/>
      <c r="K967" s="222"/>
      <c r="L967" s="222"/>
      <c r="M967" s="222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customFormat="false" ht="14.25" hidden="false" customHeight="true" outlineLevel="0" collapsed="false">
      <c r="A968" s="217"/>
      <c r="B968" s="217"/>
      <c r="C968" s="217"/>
      <c r="D968" s="218"/>
      <c r="E968" s="219"/>
      <c r="F968" s="220"/>
      <c r="G968" s="221"/>
      <c r="H968" s="221"/>
      <c r="I968" s="222"/>
      <c r="J968" s="222"/>
      <c r="K968" s="222"/>
      <c r="L968" s="222"/>
      <c r="M968" s="222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customFormat="false" ht="14.25" hidden="false" customHeight="true" outlineLevel="0" collapsed="false">
      <c r="A969" s="217"/>
      <c r="B969" s="217"/>
      <c r="C969" s="217"/>
      <c r="D969" s="218"/>
      <c r="E969" s="219"/>
      <c r="F969" s="220"/>
      <c r="G969" s="221"/>
      <c r="H969" s="221"/>
      <c r="I969" s="222"/>
      <c r="J969" s="222"/>
      <c r="K969" s="222"/>
      <c r="L969" s="222"/>
      <c r="M969" s="222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customFormat="false" ht="14.25" hidden="false" customHeight="true" outlineLevel="0" collapsed="false">
      <c r="A970" s="217"/>
      <c r="B970" s="217"/>
      <c r="C970" s="217"/>
      <c r="D970" s="218"/>
      <c r="E970" s="219"/>
      <c r="F970" s="220"/>
      <c r="G970" s="221"/>
      <c r="H970" s="221"/>
      <c r="I970" s="222"/>
      <c r="J970" s="222"/>
      <c r="K970" s="222"/>
      <c r="L970" s="222"/>
      <c r="M970" s="222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customFormat="false" ht="14.25" hidden="false" customHeight="true" outlineLevel="0" collapsed="false">
      <c r="A971" s="217"/>
      <c r="B971" s="217"/>
      <c r="C971" s="217"/>
      <c r="D971" s="218"/>
      <c r="E971" s="219"/>
      <c r="F971" s="220"/>
      <c r="G971" s="221"/>
      <c r="H971" s="221"/>
      <c r="I971" s="222"/>
      <c r="J971" s="222"/>
      <c r="K971" s="222"/>
      <c r="L971" s="222"/>
      <c r="M971" s="222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customFormat="false" ht="14.25" hidden="false" customHeight="true" outlineLevel="0" collapsed="false">
      <c r="A972" s="217"/>
      <c r="B972" s="217"/>
      <c r="C972" s="217"/>
      <c r="D972" s="218"/>
      <c r="E972" s="219"/>
      <c r="F972" s="220"/>
      <c r="G972" s="221"/>
      <c r="H972" s="221"/>
      <c r="I972" s="222"/>
      <c r="J972" s="222"/>
      <c r="K972" s="222"/>
      <c r="L972" s="222"/>
      <c r="M972" s="222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customFormat="false" ht="14.25" hidden="false" customHeight="true" outlineLevel="0" collapsed="false">
      <c r="A973" s="217"/>
      <c r="B973" s="217"/>
      <c r="C973" s="217"/>
      <c r="D973" s="218"/>
      <c r="E973" s="219"/>
      <c r="F973" s="220"/>
      <c r="G973" s="221"/>
      <c r="H973" s="221"/>
      <c r="I973" s="222"/>
      <c r="J973" s="222"/>
      <c r="K973" s="222"/>
      <c r="L973" s="222"/>
      <c r="M973" s="222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customFormat="false" ht="14.25" hidden="false" customHeight="true" outlineLevel="0" collapsed="false">
      <c r="A974" s="217"/>
      <c r="B974" s="217"/>
      <c r="C974" s="217"/>
      <c r="D974" s="218"/>
      <c r="E974" s="219"/>
      <c r="F974" s="220"/>
      <c r="G974" s="221"/>
      <c r="H974" s="221"/>
      <c r="I974" s="222"/>
      <c r="J974" s="222"/>
      <c r="K974" s="222"/>
      <c r="L974" s="222"/>
      <c r="M974" s="222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customFormat="false" ht="14.25" hidden="false" customHeight="true" outlineLevel="0" collapsed="false">
      <c r="A975" s="217"/>
      <c r="B975" s="217"/>
      <c r="C975" s="217"/>
      <c r="D975" s="218"/>
      <c r="E975" s="219"/>
      <c r="F975" s="220"/>
      <c r="G975" s="221"/>
      <c r="H975" s="221"/>
      <c r="I975" s="222"/>
      <c r="J975" s="222"/>
      <c r="K975" s="222"/>
      <c r="L975" s="222"/>
      <c r="M975" s="222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customFormat="false" ht="14.25" hidden="false" customHeight="true" outlineLevel="0" collapsed="false">
      <c r="A976" s="217"/>
      <c r="B976" s="217"/>
      <c r="C976" s="217"/>
      <c r="D976" s="218"/>
      <c r="E976" s="219"/>
      <c r="F976" s="220"/>
      <c r="G976" s="221"/>
      <c r="H976" s="221"/>
      <c r="I976" s="222"/>
      <c r="J976" s="222"/>
      <c r="K976" s="222"/>
      <c r="L976" s="222"/>
      <c r="M976" s="222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customFormat="false" ht="14.25" hidden="false" customHeight="true" outlineLevel="0" collapsed="false">
      <c r="A977" s="217"/>
      <c r="B977" s="217"/>
      <c r="C977" s="217"/>
      <c r="D977" s="218"/>
      <c r="E977" s="219"/>
      <c r="F977" s="220"/>
      <c r="G977" s="221"/>
      <c r="H977" s="221"/>
      <c r="I977" s="222"/>
      <c r="J977" s="222"/>
      <c r="K977" s="222"/>
      <c r="L977" s="222"/>
      <c r="M977" s="222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customFormat="false" ht="14.25" hidden="false" customHeight="true" outlineLevel="0" collapsed="false">
      <c r="A978" s="217"/>
      <c r="B978" s="217"/>
      <c r="C978" s="217"/>
      <c r="D978" s="218"/>
      <c r="E978" s="219"/>
      <c r="F978" s="220"/>
      <c r="G978" s="221"/>
      <c r="H978" s="221"/>
      <c r="I978" s="222"/>
      <c r="J978" s="222"/>
      <c r="K978" s="222"/>
      <c r="L978" s="222"/>
      <c r="M978" s="222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customFormat="false" ht="14.25" hidden="false" customHeight="true" outlineLevel="0" collapsed="false">
      <c r="A979" s="217"/>
      <c r="B979" s="217"/>
      <c r="C979" s="217"/>
      <c r="D979" s="218"/>
      <c r="E979" s="219"/>
      <c r="F979" s="220"/>
      <c r="G979" s="221"/>
      <c r="H979" s="221"/>
      <c r="I979" s="222"/>
      <c r="J979" s="222"/>
      <c r="K979" s="222"/>
      <c r="L979" s="222"/>
      <c r="M979" s="222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customFormat="false" ht="14.25" hidden="false" customHeight="true" outlineLevel="0" collapsed="false">
      <c r="A980" s="217"/>
      <c r="B980" s="217"/>
      <c r="C980" s="217"/>
      <c r="D980" s="218"/>
      <c r="E980" s="219"/>
      <c r="F980" s="220"/>
      <c r="G980" s="221"/>
      <c r="H980" s="221"/>
      <c r="I980" s="222"/>
      <c r="J980" s="222"/>
      <c r="K980" s="222"/>
      <c r="L980" s="222"/>
      <c r="M980" s="222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customFormat="false" ht="14.25" hidden="false" customHeight="true" outlineLevel="0" collapsed="false">
      <c r="A981" s="217"/>
      <c r="B981" s="217"/>
      <c r="C981" s="217"/>
      <c r="D981" s="218"/>
      <c r="E981" s="219"/>
      <c r="F981" s="220"/>
      <c r="G981" s="221"/>
      <c r="H981" s="221"/>
      <c r="I981" s="222"/>
      <c r="J981" s="222"/>
      <c r="K981" s="222"/>
      <c r="L981" s="222"/>
      <c r="M981" s="222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customFormat="false" ht="14.25" hidden="false" customHeight="true" outlineLevel="0" collapsed="false">
      <c r="A982" s="217"/>
      <c r="B982" s="217"/>
      <c r="C982" s="217"/>
      <c r="D982" s="218"/>
      <c r="E982" s="219"/>
      <c r="F982" s="220"/>
      <c r="G982" s="221"/>
      <c r="H982" s="221"/>
      <c r="I982" s="222"/>
      <c r="J982" s="222"/>
      <c r="K982" s="222"/>
      <c r="L982" s="222"/>
      <c r="M982" s="222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customFormat="false" ht="14.25" hidden="false" customHeight="true" outlineLevel="0" collapsed="false">
      <c r="A983" s="217"/>
      <c r="B983" s="217"/>
      <c r="C983" s="217"/>
      <c r="D983" s="218"/>
      <c r="E983" s="219"/>
      <c r="F983" s="220"/>
      <c r="G983" s="221"/>
      <c r="H983" s="221"/>
      <c r="I983" s="222"/>
      <c r="J983" s="222"/>
      <c r="K983" s="222"/>
      <c r="L983" s="222"/>
      <c r="M983" s="222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customFormat="false" ht="14.25" hidden="false" customHeight="true" outlineLevel="0" collapsed="false">
      <c r="A984" s="217"/>
      <c r="B984" s="217"/>
      <c r="C984" s="217"/>
      <c r="D984" s="218"/>
      <c r="E984" s="219"/>
      <c r="F984" s="220"/>
      <c r="G984" s="221"/>
      <c r="H984" s="221"/>
      <c r="I984" s="222"/>
      <c r="J984" s="222"/>
      <c r="K984" s="222"/>
      <c r="L984" s="222"/>
      <c r="M984" s="222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customFormat="false" ht="14.25" hidden="false" customHeight="true" outlineLevel="0" collapsed="false">
      <c r="A985" s="217"/>
      <c r="B985" s="217"/>
      <c r="C985" s="217"/>
      <c r="D985" s="218"/>
      <c r="E985" s="219"/>
      <c r="F985" s="220"/>
      <c r="G985" s="221"/>
      <c r="H985" s="221"/>
      <c r="I985" s="222"/>
      <c r="J985" s="222"/>
      <c r="K985" s="222"/>
      <c r="L985" s="222"/>
      <c r="M985" s="222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customFormat="false" ht="14.25" hidden="false" customHeight="true" outlineLevel="0" collapsed="false">
      <c r="A986" s="217"/>
      <c r="B986" s="217"/>
      <c r="C986" s="217"/>
      <c r="D986" s="218"/>
      <c r="E986" s="219"/>
      <c r="F986" s="220"/>
      <c r="G986" s="221"/>
      <c r="H986" s="221"/>
      <c r="I986" s="222"/>
      <c r="J986" s="222"/>
      <c r="K986" s="222"/>
      <c r="L986" s="222"/>
      <c r="M986" s="222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customFormat="false" ht="14.25" hidden="false" customHeight="true" outlineLevel="0" collapsed="false">
      <c r="A987" s="217"/>
      <c r="B987" s="217"/>
      <c r="C987" s="217"/>
      <c r="D987" s="218"/>
      <c r="E987" s="219"/>
      <c r="F987" s="220"/>
      <c r="G987" s="221"/>
      <c r="H987" s="221"/>
      <c r="I987" s="222"/>
      <c r="J987" s="222"/>
      <c r="K987" s="222"/>
      <c r="L987" s="222"/>
      <c r="M987" s="222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customFormat="false" ht="14.25" hidden="false" customHeight="true" outlineLevel="0" collapsed="false">
      <c r="A988" s="217"/>
      <c r="B988" s="217"/>
      <c r="C988" s="217"/>
      <c r="D988" s="218"/>
      <c r="E988" s="219"/>
      <c r="F988" s="220"/>
      <c r="G988" s="221"/>
      <c r="H988" s="221"/>
      <c r="I988" s="222"/>
      <c r="J988" s="222"/>
      <c r="K988" s="222"/>
      <c r="L988" s="222"/>
      <c r="M988" s="222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customFormat="false" ht="14.25" hidden="false" customHeight="true" outlineLevel="0" collapsed="false">
      <c r="A989" s="217"/>
      <c r="B989" s="217"/>
      <c r="C989" s="217"/>
      <c r="D989" s="218"/>
      <c r="E989" s="219"/>
      <c r="F989" s="220"/>
      <c r="G989" s="221"/>
      <c r="H989" s="221"/>
      <c r="I989" s="222"/>
      <c r="J989" s="222"/>
      <c r="K989" s="222"/>
      <c r="L989" s="222"/>
      <c r="M989" s="222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customFormat="false" ht="14.25" hidden="false" customHeight="true" outlineLevel="0" collapsed="false">
      <c r="A990" s="217"/>
      <c r="B990" s="217"/>
      <c r="C990" s="217"/>
      <c r="D990" s="218"/>
      <c r="E990" s="219"/>
      <c r="F990" s="220"/>
      <c r="G990" s="221"/>
      <c r="H990" s="221"/>
      <c r="I990" s="222"/>
      <c r="J990" s="222"/>
      <c r="K990" s="222"/>
      <c r="L990" s="222"/>
      <c r="M990" s="222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customFormat="false" ht="14.25" hidden="false" customHeight="true" outlineLevel="0" collapsed="false">
      <c r="A991" s="217"/>
      <c r="B991" s="217"/>
      <c r="C991" s="217"/>
      <c r="D991" s="218"/>
      <c r="E991" s="219"/>
      <c r="F991" s="220"/>
      <c r="G991" s="221"/>
      <c r="H991" s="221"/>
      <c r="I991" s="222"/>
      <c r="J991" s="222"/>
      <c r="K991" s="222"/>
      <c r="L991" s="222"/>
      <c r="M991" s="222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customFormat="false" ht="14.25" hidden="false" customHeight="true" outlineLevel="0" collapsed="false">
      <c r="A992" s="217"/>
      <c r="B992" s="217"/>
      <c r="C992" s="217"/>
      <c r="D992" s="218"/>
      <c r="E992" s="219"/>
      <c r="F992" s="220"/>
      <c r="G992" s="221"/>
      <c r="H992" s="221"/>
      <c r="I992" s="222"/>
      <c r="J992" s="222"/>
      <c r="K992" s="222"/>
      <c r="L992" s="222"/>
      <c r="M992" s="222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customFormat="false" ht="14.25" hidden="false" customHeight="true" outlineLevel="0" collapsed="false">
      <c r="A993" s="217"/>
      <c r="B993" s="217"/>
      <c r="C993" s="217"/>
      <c r="D993" s="218"/>
      <c r="E993" s="219"/>
      <c r="F993" s="220"/>
      <c r="G993" s="221"/>
      <c r="H993" s="221"/>
      <c r="I993" s="222"/>
      <c r="J993" s="222"/>
      <c r="K993" s="222"/>
      <c r="L993" s="222"/>
      <c r="M993" s="222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customFormat="false" ht="14.25" hidden="false" customHeight="true" outlineLevel="0" collapsed="false">
      <c r="A994" s="217"/>
      <c r="B994" s="217"/>
      <c r="C994" s="217"/>
      <c r="D994" s="218"/>
      <c r="E994" s="219"/>
      <c r="F994" s="220"/>
      <c r="G994" s="221"/>
      <c r="H994" s="221"/>
      <c r="I994" s="222"/>
      <c r="J994" s="222"/>
      <c r="K994" s="222"/>
      <c r="L994" s="222"/>
      <c r="M994" s="222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customFormat="false" ht="14.25" hidden="false" customHeight="true" outlineLevel="0" collapsed="false">
      <c r="A995" s="217"/>
      <c r="B995" s="217"/>
      <c r="C995" s="217"/>
      <c r="D995" s="218"/>
      <c r="E995" s="219"/>
      <c r="F995" s="220"/>
      <c r="G995" s="221"/>
      <c r="H995" s="221"/>
      <c r="I995" s="222"/>
      <c r="J995" s="222"/>
      <c r="K995" s="222"/>
      <c r="L995" s="222"/>
      <c r="M995" s="222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customFormat="false" ht="14.25" hidden="false" customHeight="true" outlineLevel="0" collapsed="false">
      <c r="A996" s="217"/>
      <c r="B996" s="217"/>
      <c r="C996" s="217"/>
      <c r="D996" s="218"/>
      <c r="E996" s="219"/>
      <c r="F996" s="220"/>
      <c r="G996" s="221"/>
      <c r="H996" s="221"/>
      <c r="I996" s="222"/>
      <c r="J996" s="222"/>
      <c r="K996" s="222"/>
      <c r="L996" s="222"/>
      <c r="M996" s="222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customFormat="false" ht="14.25" hidden="false" customHeight="true" outlineLevel="0" collapsed="false">
      <c r="A997" s="217"/>
      <c r="B997" s="217"/>
      <c r="C997" s="217"/>
      <c r="D997" s="218"/>
      <c r="E997" s="219"/>
      <c r="F997" s="220"/>
      <c r="G997" s="221"/>
      <c r="H997" s="221"/>
      <c r="I997" s="222"/>
      <c r="J997" s="222"/>
      <c r="K997" s="222"/>
      <c r="L997" s="222"/>
      <c r="M997" s="222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customFormat="false" ht="14.25" hidden="false" customHeight="true" outlineLevel="0" collapsed="false">
      <c r="A998" s="217"/>
      <c r="B998" s="217"/>
      <c r="C998" s="217"/>
      <c r="D998" s="218"/>
      <c r="E998" s="219"/>
      <c r="F998" s="220"/>
      <c r="G998" s="221"/>
      <c r="H998" s="221"/>
      <c r="I998" s="222"/>
      <c r="J998" s="222"/>
      <c r="K998" s="222"/>
      <c r="L998" s="222"/>
      <c r="M998" s="222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customFormat="false" ht="14.25" hidden="false" customHeight="true" outlineLevel="0" collapsed="false">
      <c r="A999" s="217"/>
      <c r="B999" s="217"/>
      <c r="C999" s="217"/>
      <c r="D999" s="218"/>
      <c r="E999" s="219"/>
      <c r="F999" s="220"/>
      <c r="G999" s="221"/>
      <c r="H999" s="221"/>
      <c r="I999" s="222"/>
      <c r="J999" s="222"/>
      <c r="K999" s="222"/>
      <c r="L999" s="222"/>
      <c r="M999" s="222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customFormat="false" ht="14.25" hidden="false" customHeight="true" outlineLevel="0" collapsed="false">
      <c r="A1000" s="217"/>
      <c r="B1000" s="217"/>
      <c r="C1000" s="217"/>
      <c r="D1000" s="218"/>
      <c r="E1000" s="219"/>
      <c r="F1000" s="220"/>
      <c r="G1000" s="221"/>
      <c r="H1000" s="221"/>
      <c r="I1000" s="222"/>
      <c r="J1000" s="222"/>
      <c r="K1000" s="222"/>
      <c r="L1000" s="222"/>
      <c r="M1000" s="222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B3:D3"/>
    <mergeCell ref="B4:D4"/>
    <mergeCell ref="B5:D5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LibreOffice/7.0.6.2$Windows_X86_64 LibreOffice_project/144abb84a525d8e30c9dbbefa69cbbf2d8d4ae3b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2023-09-18T16:02:21Z</dcterms:modified>
  <cp:revision>1</cp:revision>
  <dc:subject/>
  <dc:title/>
</cp:coreProperties>
</file>